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Segment_Model" sheetId="3" state="visible" r:id="rId5"/>
    <sheet name="SOTP" sheetId="4" state="visible" r:id="rId6"/>
    <sheet name="WACC" sheetId="5" state="visible" r:id="rId7"/>
    <sheet name="Capex_FCF" sheetId="6" state="visible" r:id="rId8"/>
    <sheet name="DCF_Consol" sheetId="7" state="visible" r:id="rId9"/>
    <sheet name="Scenario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<sst xmlns="http://schemas.openxmlformats.org/spreadsheetml/2006/main" count="377" uniqueCount="284">
  <si>
    <t xml:space="preserve">EQUITY RESEARCH</t>
  </si>
  <si>
    <t xml:space="preserve">Technology / Internet &amp; Cloud Infrastructure</t>
  </si>
  <si>
    <t xml:space="preserve">Amazon.com, Inc.  (NASDAQ: AMZN)</t>
  </si>
  <si>
    <t xml:space="preserve">Sum-of-the-Parts DCF Valuation  |  Does AWS growth justify the $200B+ capex plan?</t>
  </si>
  <si>
    <t xml:space="preserve">RATING</t>
  </si>
  <si>
    <t xml:space="preserve">PRICE TARGET (Base)</t>
  </si>
  <si>
    <t xml:space="preserve">CURRENT PRICE</t>
  </si>
  <si>
    <t xml:space="preserve">IMPLIED RETURN</t>
  </si>
  <si>
    <t xml:space="preserve">HORIZON</t>
  </si>
  <si>
    <t xml:space="preserve">HOLD</t>
  </si>
  <si>
    <t xml:space="preserve">$235.50</t>
  </si>
  <si>
    <t xml:space="preserve">12 months</t>
  </si>
  <si>
    <t xml:space="preserve">KEY DATA (FY2025A)</t>
  </si>
  <si>
    <t xml:space="preserve">VALUATION SNAPSHOT</t>
  </si>
  <si>
    <t xml:space="preserve">Total Revenue</t>
  </si>
  <si>
    <t xml:space="preserve">$716.9B</t>
  </si>
  <si>
    <t xml:space="preserve">EV / EBITDA (FY25)</t>
  </si>
  <si>
    <t xml:space="preserve">~18x</t>
  </si>
  <si>
    <t xml:space="preserve">Operating Income</t>
  </si>
  <si>
    <t xml:space="preserve">$80.0B</t>
  </si>
  <si>
    <t xml:space="preserve">P/E (trailing)</t>
  </si>
  <si>
    <t xml:space="preserve">~33x</t>
  </si>
  <si>
    <t xml:space="preserve">AWS Revenue</t>
  </si>
  <si>
    <t xml:space="preserve">$128.7B (+20% YoY)</t>
  </si>
  <si>
    <t xml:space="preserve">SOTP Base Fair Value</t>
  </si>
  <si>
    <t xml:space="preserve">AWS Operating Income</t>
  </si>
  <si>
    <t xml:space="preserve">$45.6B (35.4% margin)</t>
  </si>
  <si>
    <t xml:space="preserve">SOTP Bull Case</t>
  </si>
  <si>
    <t xml:space="preserve">Free Cash Flow (TTM)</t>
  </si>
  <si>
    <t xml:space="preserve">$11.2B (down 71% YoY)</t>
  </si>
  <si>
    <t xml:space="preserve">SOTP Bear Case</t>
  </si>
  <si>
    <t xml:space="preserve">2026E Capex</t>
  </si>
  <si>
    <t xml:space="preserve">~$200B (guided)</t>
  </si>
  <si>
    <t xml:space="preserve">Consolidated DCF (check)</t>
  </si>
  <si>
    <t xml:space="preserve">Shares Outstanding</t>
  </si>
  <si>
    <t xml:space="preserve">10.76B</t>
  </si>
  <si>
    <t xml:space="preserve">AWS % of Total EV</t>
  </si>
  <si>
    <t xml:space="preserve">Market Cap</t>
  </si>
  <si>
    <t xml:space="preserve">~$2.44T</t>
  </si>
  <si>
    <t xml:space="preserve">Retail % of Total EV</t>
  </si>
  <si>
    <t xml:space="preserve">INVESTMENT THESIS</t>
  </si>
  <si>
    <t xml:space="preserve">Amazon is transitioning from a low-margin retailer supported by a highly profitable cloud division into a broader AI, logistics and digital-infrastructure platform. Our sum-of-the-parts values AWS as the dominant driver (~64% of enterprise value). The base-case SOTP (~$200) lands modestly BELOW the current price, while the probability-weighted fair value (~$238) sits roughly in line — i.e. the post-earnings rally has largely priced in the AI optionality. The bull case (~$392) requires AWS to sustain ~22% growth at ~40% margins with earlier capex normalization; the bear case (~$168) reflects elevated capex and depreciation drag. We rate shares HOLD: the franchise is exceptional, but at today's price the market is already paying for successful execution of the $200B+ capital program. Accumulate on weakness toward the $185-200 range.</t>
  </si>
  <si>
    <t xml:space="preserve">CENTRAL RESEARCH QUESTION</t>
  </si>
  <si>
    <t xml:space="preserve">Does today's capital spending produce durable incremental returns above Amazon's cost of capital? AWS backlog of $244B (+40% YoY) and 24% Q4 growth support the bull view; the 71% FCF decline and depreciation drag are the risks. This model isolates that tension segment by segment.</t>
  </si>
  <si>
    <t xml:space="preserve">WORKBOOK CONTENTS</t>
  </si>
  <si>
    <t xml:space="preserve">Summary</t>
  </si>
  <si>
    <t xml:space="preserve">This page — rating, targets, thesis</t>
  </si>
  <si>
    <t xml:space="preserve">Segment_Model</t>
  </si>
  <si>
    <t xml:space="preserve">5-year revenue &amp; operating income build for all 5 segments</t>
  </si>
  <si>
    <t xml:space="preserve">SOTP</t>
  </si>
  <si>
    <t xml:space="preserve">Sum-of-the-parts: each segment valued separately, summed to equity value</t>
  </si>
  <si>
    <t xml:space="preserve">DCF_Consol</t>
  </si>
  <si>
    <t xml:space="preserve">Consolidated DCF cross-check with capex normalization</t>
  </si>
  <si>
    <t xml:space="preserve">Capex_FCF</t>
  </si>
  <si>
    <t xml:space="preserve">Capex, depreciation and free-cash-flow normalization scenarios</t>
  </si>
  <si>
    <t xml:space="preserve">Scenarios</t>
  </si>
  <si>
    <t xml:space="preserve">Bull / Base / Bear fair value with segment-level drivers</t>
  </si>
  <si>
    <t xml:space="preserve">WACC</t>
  </si>
  <si>
    <t xml:space="preserve">Cost of capital build</t>
  </si>
  <si>
    <t xml:space="preserve">Assumptions</t>
  </si>
  <si>
    <t xml:space="preserve">All input drivers and sources</t>
  </si>
  <si>
    <t xml:space="preserve">Valuation date: July 31, 2026  |  All figures $B unless noted  |  Sources: Amazon FY2025 10-K &amp; Q4 2025 earnings release (SEC EDGAR), company guidance. Educational model — not investment advice.</t>
  </si>
  <si>
    <t xml:space="preserve">AMAZON (AMZN) — MODEL ASSUMPTIONS &amp; DRIVERS</t>
  </si>
  <si>
    <t xml:space="preserve">Blue = input/lever  |  Black = formula  |  All revenue/OI in $B</t>
  </si>
  <si>
    <t xml:space="preserve">FY2025 ACTUALS (ANCHOR) — Source: Amazon Q4 2025 Earnings Release, SEC EDGAR</t>
  </si>
  <si>
    <t xml:space="preserve">Segment</t>
  </si>
  <si>
    <t xml:space="preserve">Revenue</t>
  </si>
  <si>
    <t xml:space="preserve">Op Income</t>
  </si>
  <si>
    <t xml:space="preserve">Op Margin</t>
  </si>
  <si>
    <t xml:space="preserve">Rev YoY</t>
  </si>
  <si>
    <t xml:space="preserve">Note</t>
  </si>
  <si>
    <t xml:space="preserve">North America Retail</t>
  </si>
  <si>
    <t xml:space="preserve">Incl. 1P/3P retail, ads (NA), subscriptions</t>
  </si>
  <si>
    <t xml:space="preserve">International Retail</t>
  </si>
  <si>
    <t xml:space="preserve">Emerging + established intl marketplaces</t>
  </si>
  <si>
    <t xml:space="preserve">AWS</t>
  </si>
  <si>
    <t xml:space="preserve">Cloud infrastructure; +20% FY25, +24% Q4 exit</t>
  </si>
  <si>
    <t xml:space="preserve">Consolidated</t>
  </si>
  <si>
    <t xml:space="preserve">Reported: $716.9B rev / $80.0B OI (incl. special charges)</t>
  </si>
  <si>
    <t xml:space="preserve">REVENUE GROWTH ASSUMPTIONS (BASE CASE)</t>
  </si>
  <si>
    <t xml:space="preserve">2026E</t>
  </si>
  <si>
    <t xml:space="preserve">2027E</t>
  </si>
  <si>
    <t xml:space="preserve">2028E</t>
  </si>
  <si>
    <t xml:space="preserve">2029E</t>
  </si>
  <si>
    <t xml:space="preserve">2030E</t>
  </si>
  <si>
    <t xml:space="preserve">Rationale</t>
  </si>
  <si>
    <t xml:space="preserve">Mature; ads + logistics productivity offset slowing 1P. ~7-9% durable</t>
  </si>
  <si>
    <t xml:space="preserve">Underpenetrated; FX-neutral ~10%. Longer runway than NA</t>
  </si>
  <si>
    <t xml:space="preserve">AI-driven reaccel; $244B backlog. Decel as base grows but stays &gt;GDP</t>
  </si>
  <si>
    <t xml:space="preserve">OPERATING MARGIN ASSUMPTIONS (BASE CASE)</t>
  </si>
  <si>
    <t xml:space="preserve">Ads mix + automation lift from 6.9%. Key retail-margin thesis</t>
  </si>
  <si>
    <t xml:space="preserve">Emerging markets approach NA-style profitability with scale</t>
  </si>
  <si>
    <t xml:space="preserve">Depreciation from capex offsets AI operating leverage; ~35% held</t>
  </si>
  <si>
    <t xml:space="preserve">CAPEX, D&amp;A &amp; FCF DRIVERS</t>
  </si>
  <si>
    <t xml:space="preserve">Driver</t>
  </si>
  <si>
    <t xml:space="preserve">Total Capex ($B)</t>
  </si>
  <si>
    <t xml:space="preserve">2026E ~$200B guided; peaks 2027 then normalizes as AI capacity fills</t>
  </si>
  <si>
    <t xml:space="preserve">D&amp;A ($B)</t>
  </si>
  <si>
    <t xml:space="preserve">Rising sharply as record capex depreciates — the key OI drag</t>
  </si>
  <si>
    <t xml:space="preserve">Change in WC ($B)</t>
  </si>
  <si>
    <t xml:space="preserve">Amazon's negative WC cycle — payables float remains a cash source</t>
  </si>
  <si>
    <t xml:space="preserve">Cash Tax Rate</t>
  </si>
  <si>
    <t xml:space="preserve">~16% effective cash rate; below statutory due to SBC, credits, timing</t>
  </si>
  <si>
    <t xml:space="preserve">VALUATION PARAMETERS</t>
  </si>
  <si>
    <t xml:space="preserve">Parameter</t>
  </si>
  <si>
    <t xml:space="preserve">Value</t>
  </si>
  <si>
    <t xml:space="preserve">Source / Rationale</t>
  </si>
  <si>
    <t xml:space="preserve">WACC — AWS</t>
  </si>
  <si>
    <t xml:space="preserve">Higher for capital intensity + AI demand risk</t>
  </si>
  <si>
    <t xml:space="preserve">WACC — Retail (NA &amp; Intl)</t>
  </si>
  <si>
    <t xml:space="preserve">Blended equity/debt; see WACC tab</t>
  </si>
  <si>
    <t xml:space="preserve">WACC — Consolidated</t>
  </si>
  <si>
    <t xml:space="preserve">Weighted by segment EV</t>
  </si>
  <si>
    <t xml:space="preserve">Terminal Growth — AWS</t>
  </si>
  <si>
    <t xml:space="preserve">Long cloud/AI runway above GDP</t>
  </si>
  <si>
    <t xml:space="preserve">Terminal Growth — Retail</t>
  </si>
  <si>
    <t xml:space="preserve">Mature; ~ nominal GDP</t>
  </si>
  <si>
    <t xml:space="preserve">Exit EV/EBIT — AWS</t>
  </si>
  <si>
    <t xml:space="preserve">Premium cloud multiple; peers 20-28x</t>
  </si>
  <si>
    <t xml:space="preserve">Exit EV/EBIT — NA Retail</t>
  </si>
  <si>
    <t xml:space="preserve">Ads-rich retail; above pure e-comm</t>
  </si>
  <si>
    <t xml:space="preserve">Exit EV/EBIT — Intl Retail</t>
  </si>
  <si>
    <t xml:space="preserve">Lower given thinner margins</t>
  </si>
  <si>
    <t xml:space="preserve">Net Cash (Debt) ($B)</t>
  </si>
  <si>
    <t xml:space="preserve">Cash $101B less debt ~$76B (approx, FY25)</t>
  </si>
  <si>
    <t xml:space="preserve">Shares Outstanding (B)</t>
  </si>
  <si>
    <t xml:space="preserve">Diluted, mid-2026</t>
  </si>
  <si>
    <t xml:space="preserve">Current Price ($)</t>
  </si>
  <si>
    <t xml:space="preserve">NASDAQ close, Jul 30 2026</t>
  </si>
  <si>
    <t xml:space="preserve">AMAZON — 5-YEAR SEGMENT PROJECTION ($B)</t>
  </si>
  <si>
    <t xml:space="preserve">Revenue &amp; operating income built from Assumptions tab drivers</t>
  </si>
  <si>
    <t xml:space="preserve">NORTH AMERICA RETAIL</t>
  </si>
  <si>
    <t xml:space="preserve">Line</t>
  </si>
  <si>
    <t xml:space="preserve">FY2025A</t>
  </si>
  <si>
    <t xml:space="preserve">    Growth %</t>
  </si>
  <si>
    <t xml:space="preserve">    Operating Margin %</t>
  </si>
  <si>
    <t xml:space="preserve">INTERNATIONAL RETAIL</t>
  </si>
  <si>
    <t xml:space="preserve">CONSOLIDATED</t>
  </si>
  <si>
    <t xml:space="preserve">    Total Rev Growth %</t>
  </si>
  <si>
    <t xml:space="preserve">Total Operating Income</t>
  </si>
  <si>
    <t xml:space="preserve">    Consolidated Op Margin %</t>
  </si>
  <si>
    <t xml:space="preserve">Note: segment operating income sums to reported consolidated OI before unallocated corporate/stock-based comp already embedded in segment results. FY2025A anchors tie to Amazon's reported segment disclosures ($426.3B/$161.9B/$128.7B revenue; $29.6B/$4.7B/$45.6B OI).</t>
  </si>
  <si>
    <t xml:space="preserve">AMAZON — SUM-OF-THE-PARTS VALUATION</t>
  </si>
  <si>
    <t xml:space="preserve">Each segment valued on FY2030E exit operating income × segment multiple, discounted to present</t>
  </si>
  <si>
    <t xml:space="preserve">SEGMENT VALUATION (EXIT MULTIPLE METHOD)</t>
  </si>
  <si>
    <t xml:space="preserve">FY2030E OI</t>
  </si>
  <si>
    <t xml:space="preserve">Exit EV/EBIT</t>
  </si>
  <si>
    <t xml:space="preserve">Undisc. EV</t>
  </si>
  <si>
    <t xml:space="preserve">PV Factor</t>
  </si>
  <si>
    <t xml:space="preserve">PV of EV</t>
  </si>
  <si>
    <t xml:space="preserve">Total Enterprise Value</t>
  </si>
  <si>
    <t xml:space="preserve">    AWS % of Enterprise Value</t>
  </si>
  <si>
    <t xml:space="preserve">EQUITY VALUE BRIDGE</t>
  </si>
  <si>
    <t xml:space="preserve">Component</t>
  </si>
  <si>
    <t xml:space="preserve">Value ($B)</t>
  </si>
  <si>
    <t xml:space="preserve">Enterprise Value (PV)</t>
  </si>
  <si>
    <t xml:space="preserve">Sum of discounted segment EVs</t>
  </si>
  <si>
    <t xml:space="preserve">(+) Net Cash / (Debt)</t>
  </si>
  <si>
    <t xml:space="preserve">Cash ~$101B less debt ~$76B (FY2025 approx)</t>
  </si>
  <si>
    <t xml:space="preserve">(−) Capex Overhang Adjustment</t>
  </si>
  <si>
    <t xml:space="preserve">Haircut for 2026-27 capex not yet earning returns (PV of investment gap vs contribution). Analyst judgment.</t>
  </si>
  <si>
    <t xml:space="preserve">Equity Value</t>
  </si>
  <si>
    <t xml:space="preserve">EV + net cash − capex overhang</t>
  </si>
  <si>
    <t xml:space="preserve">Diluted</t>
  </si>
  <si>
    <t xml:space="preserve">FAIR VALUE / SHARE</t>
  </si>
  <si>
    <t xml:space="preserve">SOTP base-case intrinsic value per share</t>
  </si>
  <si>
    <t xml:space="preserve">Current Price</t>
  </si>
  <si>
    <t xml:space="preserve">NASDAQ, Jul 30 2026</t>
  </si>
  <si>
    <t xml:space="preserve">Upside / (Downside)</t>
  </si>
  <si>
    <t xml:space="preserve">vs current price</t>
  </si>
  <si>
    <t xml:space="preserve">COST OF CAPITAL (WACC)</t>
  </si>
  <si>
    <t xml:space="preserve">Segment-differentiated discount rates</t>
  </si>
  <si>
    <t xml:space="preserve">CAPM &amp; WACC BUILD</t>
  </si>
  <si>
    <t xml:space="preserve">Risk-Free Rate (10-yr UST)</t>
  </si>
  <si>
    <t xml:space="preserve">~4.3% mid-2026</t>
  </si>
  <si>
    <t xml:space="preserve">Equity Risk Premium</t>
  </si>
  <si>
    <t xml:space="preserve">Damodaran 2026 implied US ERP ~4.2-4.5%</t>
  </si>
  <si>
    <t xml:space="preserve">Beta (levered)</t>
  </si>
  <si>
    <t xml:space="preserve">AMZN 5-yr ~1.2; above-market cyclicality</t>
  </si>
  <si>
    <t xml:space="preserve">Cost of Equity</t>
  </si>
  <si>
    <t xml:space="preserve">Rf + Beta × ERP</t>
  </si>
  <si>
    <t xml:space="preserve">Pre-Tax Cost of Debt</t>
  </si>
  <si>
    <t xml:space="preserve">Investment-grade blended</t>
  </si>
  <si>
    <t xml:space="preserve">Tax Rate</t>
  </si>
  <si>
    <t xml:space="preserve">Cash effective</t>
  </si>
  <si>
    <t xml:space="preserve">After-Tax Cost of Debt</t>
  </si>
  <si>
    <t xml:space="preserve">Kd × (1 − t)</t>
  </si>
  <si>
    <t xml:space="preserve">Equity Weight</t>
  </si>
  <si>
    <t xml:space="preserve">Market cap vs total cap</t>
  </si>
  <si>
    <t xml:space="preserve">Debt Weight</t>
  </si>
  <si>
    <t xml:space="preserve">WACC — CAPM (reference only)</t>
  </si>
  <si>
    <t xml:space="preserve">Unlevered CAPM output; elevated by 1.2 beta + minimal debt weight. Not used directly.</t>
  </si>
  <si>
    <t xml:space="preserve">WACC — AWS (operative)</t>
  </si>
  <si>
    <t xml:space="preserve">Applied to AWS discounting</t>
  </si>
  <si>
    <t xml:space="preserve">WACC — Retail NA &amp; Intl (operative)</t>
  </si>
  <si>
    <t xml:space="preserve">Applied to both retail segments</t>
  </si>
  <si>
    <t xml:space="preserve">WACC — Consolidated (operative, EV-weighted)</t>
  </si>
  <si>
    <t xml:space="preserve">Segment blend used in SOTP &amp; DCF — the real rate</t>
  </si>
  <si>
    <t xml:space="preserve">Reconciliation note</t>
  </si>
  <si>
    <t xml:space="preserve">Raw CAPM = 9.26%, but we apply an EV-weighted segment blend of 8.70% (AWS 9.0% at ~64% of EV; retail 8.5%). The blend is operative throughout; CAPM is a reference cross-check. Applying 9.26% would lower base fair value ~$20-25/share.</t>
  </si>
  <si>
    <t xml:space="preserve">CAPEX, DEPRECIATION &amp; FREE-CASH-FLOW NORMALIZATION ($B)</t>
  </si>
  <si>
    <t xml:space="preserve">The central question: when does capex normalize and FCF conversion recover?</t>
  </si>
  <si>
    <t xml:space="preserve">FREE CASH FLOW BUILD (BASE CASE)</t>
  </si>
  <si>
    <t xml:space="preserve">    Less: Cash Taxes</t>
  </si>
  <si>
    <t xml:space="preserve">NOPAT</t>
  </si>
  <si>
    <t xml:space="preserve">    Add: D&amp;A</t>
  </si>
  <si>
    <t xml:space="preserve">    Less: Capex</t>
  </si>
  <si>
    <t xml:space="preserve">    Add: Change in WC</t>
  </si>
  <si>
    <t xml:space="preserve">FREE CASH FLOW</t>
  </si>
  <si>
    <t xml:space="preserve">    FCF Margin %</t>
  </si>
  <si>
    <t xml:space="preserve">    Capex as % of Revenue</t>
  </si>
  <si>
    <t xml:space="preserve">FCF NORMALIZATION — THE KEY DEBATE</t>
  </si>
  <si>
    <t xml:space="preserve">• FY2025 FCF collapsed to $11.2B (from $38.2B) as capex hit $128B on AI build-out — a 71% decline. This is the crux of the bear case.</t>
  </si>
  <si>
    <t xml:space="preserve">• Base case assumes capex peaks ~$205B in 2027, then normalizes toward $165B by 2030 as AI capacity fills and utilization rises.</t>
  </si>
  <si>
    <t xml:space="preserve">• D&amp;A rises sharply ($70B→$128B) as record capex depreciates — a real drag on reported operating income even after cash capex moderates.</t>
  </si>
  <si>
    <t xml:space="preserve">• FCF recovery to a healthy margin depends entirely on (a) capex discipline post-2027 and (b) AWS incremental returns clearing the ~9% hurdle.</t>
  </si>
  <si>
    <t xml:space="preserve">• If capex stays elevated (bear), FCF conversion stays depressed and the valuation multiple should compress as capital intensity structurally rises.</t>
  </si>
  <si>
    <t xml:space="preserve">CONSOLIDATED DCF — CROSS-CHECK vs SOTP ($B)</t>
  </si>
  <si>
    <t xml:space="preserve">Whole-company FCF discounted at consolidated WACC; sanity check on SOTP</t>
  </si>
  <si>
    <t xml:space="preserve">DISCOUNTED FREE CASH FLOW</t>
  </si>
  <si>
    <t xml:space="preserve">Free Cash Flow</t>
  </si>
  <si>
    <t xml:space="preserve">Discount Factor</t>
  </si>
  <si>
    <t xml:space="preserve">PV of FCF</t>
  </si>
  <si>
    <t xml:space="preserve">TERMINAL VALUE &amp; EQUITY BRIDGE</t>
  </si>
  <si>
    <t xml:space="preserve">Sum PV of FCF (2026-30)</t>
  </si>
  <si>
    <t xml:space="preserve">Explicit-period PV</t>
  </si>
  <si>
    <t xml:space="preserve">Terminal FCF (2030E)</t>
  </si>
  <si>
    <t xml:space="preserve">Final-year FCF base</t>
  </si>
  <si>
    <t xml:space="preserve">Terminal Growth Rate</t>
  </si>
  <si>
    <t xml:space="preserve">Blended long-run (~ retail 3% + AWS 4%)</t>
  </si>
  <si>
    <t xml:space="preserve">Terminal Value (undisc.)</t>
  </si>
  <si>
    <t xml:space="preserve">Gordon growth on terminal FCF</t>
  </si>
  <si>
    <t xml:space="preserve">PV of Terminal Value</t>
  </si>
  <si>
    <t xml:space="preserve">Discounted 5 yrs</t>
  </si>
  <si>
    <t xml:space="preserve">Enterprise Value</t>
  </si>
  <si>
    <t xml:space="preserve">PV FCF + PV TV</t>
  </si>
  <si>
    <t xml:space="preserve">(+) Net Cash</t>
  </si>
  <si>
    <t xml:space="preserve">FY2025 approx</t>
  </si>
  <si>
    <t xml:space="preserve">Shares (B)</t>
  </si>
  <si>
    <t xml:space="preserve">FAIR VALUE / SHARE (DCF)</t>
  </si>
  <si>
    <t xml:space="preserve">Consolidated DCF cross-check vs SOTP base</t>
  </si>
  <si>
    <t xml:space="preserve">vs SOTP Fair Value</t>
  </si>
  <si>
    <t xml:space="preserve">Reconciliation gap between methods</t>
  </si>
  <si>
    <t xml:space="preserve">AMAZON — BULL / BASE / BEAR SCENARIOS</t>
  </si>
  <si>
    <t xml:space="preserve">Segment-level driver toggles → fair value per share</t>
  </si>
  <si>
    <t xml:space="preserve">Bear</t>
  </si>
  <si>
    <t xml:space="preserve">Base</t>
  </si>
  <si>
    <t xml:space="preserve">Bull</t>
  </si>
  <si>
    <t xml:space="preserve">Commentary</t>
  </si>
  <si>
    <t xml:space="preserve">AWS Revenue CAGR (26-30)</t>
  </si>
  <si>
    <t xml:space="preserve">11%</t>
  </si>
  <si>
    <t xml:space="preserve">17%</t>
  </si>
  <si>
    <t xml:space="preserve">22%</t>
  </si>
  <si>
    <t xml:space="preserve">Bear: AI demand disappoints, cloud reverts to mid-teens. Bull: sustained AI supercycle.</t>
  </si>
  <si>
    <t xml:space="preserve">AWS Operating Margin (terminal)</t>
  </si>
  <si>
    <t xml:space="preserve">30%</t>
  </si>
  <si>
    <t xml:space="preserve">36%</t>
  </si>
  <si>
    <t xml:space="preserve">40%</t>
  </si>
  <si>
    <t xml:space="preserve">Depreciation drag vs AI operating leverage tug-of-war.</t>
  </si>
  <si>
    <t xml:space="preserve">NA Retail Margin (2030E)</t>
  </si>
  <si>
    <t xml:space="preserve">7.5%</t>
  </si>
  <si>
    <t xml:space="preserve">9.5%</t>
  </si>
  <si>
    <t xml:space="preserve">Ads mix + automation. Bull assumes structural step-up.</t>
  </si>
  <si>
    <t xml:space="preserve">2026-27 Capex (avg)</t>
  </si>
  <si>
    <t xml:space="preserve">$220B</t>
  </si>
  <si>
    <t xml:space="preserve">$203B</t>
  </si>
  <si>
    <t xml:space="preserve">$185B</t>
  </si>
  <si>
    <t xml:space="preserve">Bear: capex stays elevated, no discipline. Bull: earlier normalization.</t>
  </si>
  <si>
    <t xml:space="preserve">AWS Exit EV/EBIT</t>
  </si>
  <si>
    <t xml:space="preserve">17x</t>
  </si>
  <si>
    <t xml:space="preserve">22x</t>
  </si>
  <si>
    <t xml:space="preserve">27x</t>
  </si>
  <si>
    <t xml:space="preserve">Multiple re-rates with growth/returns visibility.</t>
  </si>
  <si>
    <t xml:space="preserve">Consolidated WACC</t>
  </si>
  <si>
    <t xml:space="preserve">8.7%</t>
  </si>
  <si>
    <t xml:space="preserve">8.0%</t>
  </si>
  <si>
    <t xml:space="preserve">Risk perception of capital program.</t>
  </si>
  <si>
    <t xml:space="preserve">SCENARIO FAIR VALUE PER SHARE</t>
  </si>
  <si>
    <t xml:space="preserve">Output</t>
  </si>
  <si>
    <t xml:space="preserve">Fair Value / Share</t>
  </si>
  <si>
    <t xml:space="preserve">vs Current ($235.50)</t>
  </si>
  <si>
    <t xml:space="preserve">Probability Weight</t>
  </si>
  <si>
    <t xml:space="preserve">Probability-Weighted Fair Value</t>
  </si>
  <si>
    <t xml:space="preserve">Bear and Bull fair values are computed from the same SOTP framework with the driver toggles above applied (AWS growth/margin/multiple, retail margin, capex, WACC). Base case links live to the SOTP tab. Probability-weighted fair value blends the three; adjust weights (blue cells) to reflect your own conviction.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</si>
</sst>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.00"/>
    <numFmt numFmtId="166" formatCode="\+0.0%;\-0.0%"/>
    <numFmt numFmtId="167" formatCode="0.0%"/>
    <numFmt numFmtId="168" formatCode="\$#,##0.0"/>
    <numFmt numFmtId="169" formatCode="0.0\x"/>
    <numFmt numFmtId="170" formatCode="#,##0.00"/>
    <numFmt numFmtId="171" formatCode="0.000"/>
    <numFmt numFmtId="172" formatCode="0.00"/>
    <numFmt numFmtId="173" formatCode="0.00%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B2A4A"/>
      <name val="Arial"/>
      <family val="0"/>
      <charset val="1"/>
    </font>
    <font>
      <sz val="11"/>
      <color rgb="FFC8952A"/>
      <name val="Arial"/>
      <family val="0"/>
      <charset val="1"/>
    </font>
    <font>
      <b val="true"/>
      <sz val="16"/>
      <color rgb="FF1B2A4A"/>
      <name val="Arial"/>
      <family val="0"/>
      <charset val="1"/>
    </font>
    <font>
      <sz val="10"/>
      <color rgb="FF4A4A4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3"/>
      <color rgb="FFB45309"/>
      <name val="Arial"/>
      <family val="0"/>
      <charset val="1"/>
    </font>
    <font>
      <b val="true"/>
      <sz val="13"/>
      <color rgb="FF0F766E"/>
      <name val="Arial"/>
      <family val="0"/>
      <charset val="1"/>
    </font>
    <font>
      <b val="true"/>
      <sz val="13"/>
      <color rgb="FF1B2A4A"/>
      <name val="Arial"/>
      <family val="0"/>
      <charset val="1"/>
    </font>
    <font>
      <b val="true"/>
      <sz val="13"/>
      <color rgb="FF1D6F42"/>
      <name val="Arial"/>
      <family val="0"/>
      <charset val="1"/>
    </font>
    <font>
      <b val="true"/>
      <sz val="11"/>
      <color rgb="FF4A4A4A"/>
      <name val="Arial"/>
      <family val="0"/>
      <charset val="1"/>
    </font>
    <font>
      <sz val="9"/>
      <color rgb="FF4A4A4A"/>
      <name val="Arial"/>
      <family val="0"/>
      <charset val="1"/>
    </font>
    <font>
      <b val="true"/>
      <sz val="9"/>
      <color rgb="FF1B2A4A"/>
      <name val="Arial"/>
      <family val="0"/>
      <charset val="1"/>
    </font>
    <font>
      <b val="true"/>
      <sz val="9"/>
      <color rgb="FF0F76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sz val="8"/>
      <color rgb="FF888888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8"/>
      <color rgb="FF4A4A4A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1D6F42"/>
      <name val="Arial"/>
      <family val="0"/>
      <charset val="1"/>
    </font>
    <font>
      <sz val="9"/>
      <color rgb="FF1D6F42"/>
      <name val="Arial"/>
      <family val="0"/>
      <charset val="1"/>
    </font>
    <font>
      <sz val="9"/>
      <color rgb="FF0F766E"/>
      <name val="Arial"/>
      <family val="0"/>
      <charset val="1"/>
    </font>
    <font>
      <b val="true"/>
      <sz val="9"/>
      <color rgb="FF4A4A4A"/>
      <name val="Arial"/>
      <family val="0"/>
      <charset val="1"/>
    </font>
    <font>
      <sz val="9"/>
      <color rgb="FFC0392B"/>
      <name val="Arial"/>
      <family val="0"/>
      <charset val="1"/>
    </font>
    <font>
      <b val="true"/>
      <sz val="9"/>
      <color rgb="FFC0392B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1D6F42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FEF3C7"/>
        <bgColor rgb="FFFFF3DC"/>
      </patternFill>
    </fill>
    <fill>
      <patternFill patternType="solid">
        <fgColor rgb="FFCCFBF1"/>
        <bgColor rgb="FFE8F5EE"/>
      </patternFill>
    </fill>
    <fill>
      <patternFill patternType="solid">
        <fgColor rgb="FFF2F4F7"/>
        <bgColor rgb="FFE8F5EE"/>
      </patternFill>
    </fill>
    <fill>
      <patternFill patternType="solid">
        <fgColor rgb="FFE8F5EE"/>
        <bgColor rgb="FFE8F0FB"/>
      </patternFill>
    </fill>
    <fill>
      <patternFill patternType="solid">
        <fgColor rgb="FFFFFFFF"/>
        <bgColor rgb="FFF2F4F7"/>
      </patternFill>
    </fill>
    <fill>
      <patternFill patternType="solid">
        <fgColor rgb="FF0F766E"/>
        <bgColor rgb="FF1D6F42"/>
      </patternFill>
    </fill>
    <fill>
      <patternFill patternType="solid">
        <fgColor rgb="FF5B21B6"/>
        <bgColor rgb="FF800080"/>
      </patternFill>
    </fill>
    <fill>
      <patternFill patternType="solid">
        <fgColor rgb="FFF0EBFF"/>
        <bgColor rgb="FFE8F0FB"/>
      </patternFill>
    </fill>
    <fill>
      <patternFill patternType="solid">
        <fgColor rgb="FF4A4A4A"/>
        <bgColor rgb="FF1B2A4A"/>
      </patternFill>
    </fill>
    <fill>
      <patternFill patternType="solid">
        <fgColor rgb="FFD8DCE6"/>
        <bgColor rgb="FFE8F0FB"/>
      </patternFill>
    </fill>
    <fill>
      <patternFill patternType="solid">
        <fgColor rgb="FFFFF3DC"/>
        <bgColor rgb="FFFEF3C7"/>
      </patternFill>
    </fill>
    <fill>
      <patternFill patternType="solid">
        <fgColor rgb="FFE8F0FB"/>
        <bgColor rgb="FFE8F5EE"/>
      </patternFill>
    </fill>
    <fill>
      <patternFill patternType="solid">
        <fgColor rgb="FFFDECEA"/>
        <bgColor rgb="FFFFF3D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8952A"/>
      </bottom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9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1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1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1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7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4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3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3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21" fillId="1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2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3" fontId="2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1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8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8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1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5" fillId="1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1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0" fillId="1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1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1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1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1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BBBBBB"/>
      <rgbColor rgb="FF888888"/>
      <rgbColor rgb="FF9999FF"/>
      <rgbColor rgb="FFB45309"/>
      <rgbColor rgb="FFFEF3C7"/>
      <rgbColor rgb="FFCCFBF1"/>
      <rgbColor rgb="FF660066"/>
      <rgbColor rgb="FFFF8080"/>
      <rgbColor rgb="FF0066CC"/>
      <rgbColor rgb="FFD8DCE6"/>
      <rgbColor rgb="FF000080"/>
      <rgbColor rgb="FFFF00FF"/>
      <rgbColor rgb="FFFFFF00"/>
      <rgbColor rgb="FF00FFFF"/>
      <rgbColor rgb="FF800080"/>
      <rgbColor rgb="FF800000"/>
      <rgbColor rgb="FF1D6F42"/>
      <rgbColor rgb="FF0000FF"/>
      <rgbColor rgb="FF00CCFF"/>
      <rgbColor rgb="FFE8F5EE"/>
      <rgbColor rgb="FFE8F0FB"/>
      <rgbColor rgb="FFFFF3DC"/>
      <rgbColor rgb="FFF0EBFF"/>
      <rgbColor rgb="FFF2F4F7"/>
      <rgbColor rgb="FFCC99FF"/>
      <rgbColor rgb="FFFDECEA"/>
      <rgbColor rgb="FF3366FF"/>
      <rgbColor rgb="FF33CCCC"/>
      <rgbColor rgb="FF99CC00"/>
      <rgbColor rgb="FFFFCC00"/>
      <rgbColor rgb="FFC8952A"/>
      <rgbColor rgb="FFFF6600"/>
      <rgbColor rgb="FF666699"/>
      <rgbColor rgb="FF969696"/>
      <rgbColor rgb="FF003366"/>
      <rgbColor rgb="FF339966"/>
      <rgbColor rgb="FF003300"/>
      <rgbColor rgb="FF4A4A4A"/>
      <rgbColor rgb="FFC0392B"/>
      <rgbColor rgb="FF993366"/>
      <rgbColor rgb="FF5B21B6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2"/>
    <col collapsed="false" customWidth="true" hidden="false" outlineLevel="0" max="12" min="3" style="1" width="13"/>
  </cols>
  <sheetData>
    <row r="1" customFormat="false" ht="7.5" hidden="false" customHeight="true" outlineLevel="0" collapsed="false"/>
    <row r="2" customFormat="false" ht="7.5" hidden="false" customHeight="true" outlineLevel="0" collapsed="false"/>
    <row r="3" customFormat="false" ht="6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30" hidden="false" customHeight="true" outlineLevel="0" collapsed="false"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customFormat="false" ht="18" hidden="false" customHeight="true" outlineLevel="0" collapsed="false">
      <c r="B6" s="4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7.5" hidden="false" customHeight="true" outlineLevel="0" collapsed="false"/>
    <row r="8" customFormat="false" ht="25.5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customFormat="false" ht="18" hidden="false" customHeight="true" outlineLevel="0" collapsed="false">
      <c r="B9" s="6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customFormat="false" ht="6" hidden="false" customHeight="true" outlineLevel="0" collapsed="false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2" customFormat="false" ht="18" hidden="false" customHeight="true" outlineLevel="0" collapsed="false">
      <c r="B12" s="8" t="s">
        <v>4</v>
      </c>
      <c r="C12" s="8"/>
      <c r="D12" s="8" t="s">
        <v>5</v>
      </c>
      <c r="E12" s="8"/>
      <c r="F12" s="8"/>
      <c r="G12" s="8" t="s">
        <v>6</v>
      </c>
      <c r="H12" s="8"/>
      <c r="I12" s="8" t="s">
        <v>7</v>
      </c>
      <c r="J12" s="8"/>
      <c r="K12" s="8" t="s">
        <v>8</v>
      </c>
      <c r="L12" s="8"/>
    </row>
    <row r="13" customFormat="false" ht="30" hidden="false" customHeight="true" outlineLevel="0" collapsed="false">
      <c r="B13" s="9" t="s">
        <v>9</v>
      </c>
      <c r="C13" s="9"/>
      <c r="D13" s="10" t="n">
        <f aca="false">Scenarios!C18</f>
        <v>238.488911410464</v>
      </c>
      <c r="E13" s="10"/>
      <c r="F13" s="10"/>
      <c r="G13" s="11" t="s">
        <v>10</v>
      </c>
      <c r="H13" s="11"/>
      <c r="I13" s="12" t="n">
        <f aca="false">Scenarios!C18/235.5-1</f>
        <v>0.0126917681973009</v>
      </c>
      <c r="J13" s="12"/>
      <c r="K13" s="13" t="s">
        <v>11</v>
      </c>
      <c r="L13" s="13"/>
    </row>
    <row r="14" customFormat="false" ht="7.5" hidden="false" customHeight="true" outlineLevel="0" collapsed="false"/>
    <row r="15" customFormat="false" ht="15.75" hidden="false" customHeight="true" outlineLevel="0" collapsed="false">
      <c r="B15" s="14" t="s">
        <v>12</v>
      </c>
      <c r="C15" s="14"/>
      <c r="D15" s="14"/>
      <c r="E15" s="14"/>
      <c r="F15" s="14"/>
      <c r="G15" s="14" t="s">
        <v>13</v>
      </c>
      <c r="H15" s="14"/>
      <c r="I15" s="14"/>
      <c r="J15" s="14"/>
      <c r="K15" s="14"/>
      <c r="L15" s="14"/>
    </row>
    <row r="16" customFormat="false" ht="15.75" hidden="false" customHeight="true" outlineLevel="0" collapsed="false">
      <c r="B16" s="15" t="s">
        <v>14</v>
      </c>
      <c r="C16" s="15"/>
      <c r="D16" s="15"/>
      <c r="E16" s="16" t="s">
        <v>15</v>
      </c>
      <c r="F16" s="16"/>
      <c r="G16" s="15" t="s">
        <v>16</v>
      </c>
      <c r="H16" s="15"/>
      <c r="I16" s="15"/>
      <c r="J16" s="17" t="s">
        <v>17</v>
      </c>
      <c r="K16" s="17"/>
      <c r="L16" s="17"/>
    </row>
    <row r="17" customFormat="false" ht="15.75" hidden="false" customHeight="true" outlineLevel="0" collapsed="false">
      <c r="B17" s="15" t="s">
        <v>18</v>
      </c>
      <c r="C17" s="15"/>
      <c r="D17" s="15"/>
      <c r="E17" s="16" t="s">
        <v>19</v>
      </c>
      <c r="F17" s="16"/>
      <c r="G17" s="15" t="s">
        <v>20</v>
      </c>
      <c r="H17" s="15"/>
      <c r="I17" s="15"/>
      <c r="J17" s="17" t="s">
        <v>21</v>
      </c>
      <c r="K17" s="17"/>
      <c r="L17" s="17"/>
    </row>
    <row r="18" customFormat="false" ht="15.75" hidden="false" customHeight="true" outlineLevel="0" collapsed="false">
      <c r="B18" s="15" t="s">
        <v>22</v>
      </c>
      <c r="C18" s="15"/>
      <c r="D18" s="15"/>
      <c r="E18" s="16" t="s">
        <v>23</v>
      </c>
      <c r="F18" s="16"/>
      <c r="G18" s="15" t="s">
        <v>24</v>
      </c>
      <c r="H18" s="15"/>
      <c r="I18" s="15"/>
      <c r="J18" s="18" t="n">
        <f aca="false">SOTP!C20</f>
        <v>200.197580912143</v>
      </c>
      <c r="K18" s="18"/>
      <c r="L18" s="18"/>
    </row>
    <row r="19" customFormat="false" ht="15.75" hidden="false" customHeight="true" outlineLevel="0" collapsed="false">
      <c r="B19" s="15" t="s">
        <v>25</v>
      </c>
      <c r="C19" s="15"/>
      <c r="D19" s="15"/>
      <c r="E19" s="16" t="s">
        <v>26</v>
      </c>
      <c r="F19" s="16"/>
      <c r="G19" s="15" t="s">
        <v>27</v>
      </c>
      <c r="H19" s="15"/>
      <c r="I19" s="15"/>
      <c r="J19" s="18" t="n">
        <f aca="false">Scenarios!E15</f>
        <v>392</v>
      </c>
      <c r="K19" s="18"/>
      <c r="L19" s="18"/>
    </row>
    <row r="20" customFormat="false" ht="15.75" hidden="false" customHeight="true" outlineLevel="0" collapsed="false">
      <c r="B20" s="15" t="s">
        <v>28</v>
      </c>
      <c r="C20" s="15"/>
      <c r="D20" s="15"/>
      <c r="E20" s="16" t="s">
        <v>29</v>
      </c>
      <c r="F20" s="16"/>
      <c r="G20" s="15" t="s">
        <v>30</v>
      </c>
      <c r="H20" s="15"/>
      <c r="I20" s="15"/>
      <c r="J20" s="18" t="n">
        <f aca="false">Scenarios!C15</f>
        <v>168</v>
      </c>
      <c r="K20" s="18"/>
      <c r="L20" s="18"/>
    </row>
    <row r="21" customFormat="false" ht="15.75" hidden="false" customHeight="true" outlineLevel="0" collapsed="false">
      <c r="B21" s="15" t="s">
        <v>31</v>
      </c>
      <c r="C21" s="15"/>
      <c r="D21" s="15"/>
      <c r="E21" s="16" t="s">
        <v>32</v>
      </c>
      <c r="F21" s="16"/>
      <c r="G21" s="15" t="s">
        <v>33</v>
      </c>
      <c r="H21" s="15"/>
      <c r="I21" s="15"/>
      <c r="J21" s="18" t="n">
        <f aca="false">DCF_Consol!C23</f>
        <v>133.962160164905</v>
      </c>
      <c r="K21" s="18"/>
      <c r="L21" s="18"/>
    </row>
    <row r="22" customFormat="false" ht="15.75" hidden="false" customHeight="true" outlineLevel="0" collapsed="false">
      <c r="B22" s="15" t="s">
        <v>34</v>
      </c>
      <c r="C22" s="15"/>
      <c r="D22" s="15"/>
      <c r="E22" s="16" t="s">
        <v>35</v>
      </c>
      <c r="F22" s="16"/>
      <c r="G22" s="15" t="s">
        <v>36</v>
      </c>
      <c r="H22" s="15"/>
      <c r="I22" s="15"/>
      <c r="J22" s="19" t="n">
        <f aca="false">SOTP!G11</f>
        <v>0.639849789122848</v>
      </c>
      <c r="K22" s="19"/>
      <c r="L22" s="19"/>
    </row>
    <row r="23" customFormat="false" ht="7.5" hidden="false" customHeight="true" outlineLevel="0" collapsed="false">
      <c r="B23" s="15" t="s">
        <v>37</v>
      </c>
      <c r="C23" s="15"/>
      <c r="D23" s="15"/>
      <c r="E23" s="16" t="s">
        <v>38</v>
      </c>
      <c r="F23" s="16"/>
      <c r="G23" s="15" t="s">
        <v>39</v>
      </c>
      <c r="H23" s="15"/>
      <c r="I23" s="15"/>
      <c r="J23" s="19" t="n">
        <f aca="false">(SOTP!G7+SOTP!G8)/SOTP!G10</f>
        <v>0.360150210877153</v>
      </c>
      <c r="K23" s="19"/>
      <c r="L23" s="19"/>
    </row>
    <row r="25" customFormat="false" ht="18" hidden="false" customHeight="true" outlineLevel="0" collapsed="false">
      <c r="B25" s="20" t="s">
        <v>40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customFormat="false" ht="69.75" hidden="false" customHeight="true" outlineLevel="0" collapsed="false">
      <c r="B26" s="21" t="s">
        <v>41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customFormat="false" ht="15" hidden="false" customHeight="true" outlineLevel="0" collapsed="false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customFormat="false" ht="15" hidden="false" customHeight="true" outlineLevel="0" collapsed="false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customFormat="false" ht="15" hidden="false" customHeight="true" outlineLevel="0" collapsed="false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1" customFormat="false" ht="18" hidden="false" customHeight="true" outlineLevel="0" collapsed="false">
      <c r="B31" s="22" t="s">
        <v>42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customFormat="false" ht="48" hidden="false" customHeight="true" outlineLevel="0" collapsed="false">
      <c r="B32" s="23" t="s">
        <v>43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6" customFormat="false" ht="15.75" hidden="false" customHeight="true" outlineLevel="0" collapsed="false">
      <c r="B36" s="14" t="s">
        <v>44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customFormat="false" ht="15" hidden="false" customHeight="true" outlineLevel="0" collapsed="false">
      <c r="B37" s="24" t="s">
        <v>45</v>
      </c>
      <c r="C37" s="24"/>
      <c r="D37" s="15" t="s">
        <v>46</v>
      </c>
      <c r="E37" s="15"/>
      <c r="F37" s="15"/>
      <c r="G37" s="15"/>
      <c r="H37" s="15"/>
      <c r="I37" s="15"/>
      <c r="J37" s="15"/>
      <c r="K37" s="15"/>
      <c r="L37" s="15"/>
    </row>
    <row r="38" customFormat="false" ht="15" hidden="false" customHeight="true" outlineLevel="0" collapsed="false">
      <c r="B38" s="24" t="s">
        <v>47</v>
      </c>
      <c r="C38" s="24"/>
      <c r="D38" s="15" t="s">
        <v>48</v>
      </c>
      <c r="E38" s="15"/>
      <c r="F38" s="15"/>
      <c r="G38" s="15"/>
      <c r="H38" s="15"/>
      <c r="I38" s="15"/>
      <c r="J38" s="15"/>
      <c r="K38" s="15"/>
      <c r="L38" s="15"/>
    </row>
    <row r="39" customFormat="false" ht="15" hidden="false" customHeight="true" outlineLevel="0" collapsed="false">
      <c r="B39" s="24" t="s">
        <v>49</v>
      </c>
      <c r="C39" s="24"/>
      <c r="D39" s="15" t="s">
        <v>50</v>
      </c>
      <c r="E39" s="15"/>
      <c r="F39" s="15"/>
      <c r="G39" s="15"/>
      <c r="H39" s="15"/>
      <c r="I39" s="15"/>
      <c r="J39" s="15"/>
      <c r="K39" s="15"/>
      <c r="L39" s="15"/>
    </row>
    <row r="40" customFormat="false" ht="15" hidden="false" customHeight="true" outlineLevel="0" collapsed="false">
      <c r="B40" s="24" t="s">
        <v>51</v>
      </c>
      <c r="C40" s="24"/>
      <c r="D40" s="15" t="s">
        <v>52</v>
      </c>
      <c r="E40" s="15"/>
      <c r="F40" s="15"/>
      <c r="G40" s="15"/>
      <c r="H40" s="15"/>
      <c r="I40" s="15"/>
      <c r="J40" s="15"/>
      <c r="K40" s="15"/>
      <c r="L40" s="15"/>
    </row>
    <row r="41" customFormat="false" ht="15" hidden="false" customHeight="true" outlineLevel="0" collapsed="false">
      <c r="B41" s="24" t="s">
        <v>53</v>
      </c>
      <c r="C41" s="24"/>
      <c r="D41" s="15" t="s">
        <v>54</v>
      </c>
      <c r="E41" s="15"/>
      <c r="F41" s="15"/>
      <c r="G41" s="15"/>
      <c r="H41" s="15"/>
      <c r="I41" s="15"/>
      <c r="J41" s="15"/>
      <c r="K41" s="15"/>
      <c r="L41" s="15"/>
    </row>
    <row r="42" customFormat="false" ht="15" hidden="false" customHeight="true" outlineLevel="0" collapsed="false">
      <c r="B42" s="24" t="s">
        <v>55</v>
      </c>
      <c r="C42" s="24"/>
      <c r="D42" s="15" t="s">
        <v>56</v>
      </c>
      <c r="E42" s="15"/>
      <c r="F42" s="15"/>
      <c r="G42" s="15"/>
      <c r="H42" s="15"/>
      <c r="I42" s="15"/>
      <c r="J42" s="15"/>
      <c r="K42" s="15"/>
      <c r="L42" s="15"/>
    </row>
    <row r="43" customFormat="false" ht="15" hidden="false" customHeight="true" outlineLevel="0" collapsed="false">
      <c r="B43" s="24" t="s">
        <v>57</v>
      </c>
      <c r="C43" s="24"/>
      <c r="D43" s="15" t="s">
        <v>58</v>
      </c>
      <c r="E43" s="15"/>
      <c r="F43" s="15"/>
      <c r="G43" s="15"/>
      <c r="H43" s="15"/>
      <c r="I43" s="15"/>
      <c r="J43" s="15"/>
      <c r="K43" s="15"/>
      <c r="L43" s="15"/>
    </row>
    <row r="44" customFormat="false" ht="15" hidden="false" customHeight="true" outlineLevel="0" collapsed="false">
      <c r="B44" s="24" t="s">
        <v>59</v>
      </c>
      <c r="C44" s="24"/>
      <c r="D44" s="15" t="s">
        <v>60</v>
      </c>
      <c r="E44" s="15"/>
      <c r="F44" s="15"/>
      <c r="G44" s="15"/>
      <c r="H44" s="15"/>
      <c r="I44" s="15"/>
      <c r="J44" s="15"/>
      <c r="K44" s="15"/>
      <c r="L44" s="15"/>
    </row>
    <row r="46" customFormat="false" ht="27.75" hidden="false" customHeight="true" outlineLevel="0" collapsed="false">
      <c r="B46" s="25" t="s">
        <v>61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</row>
  </sheetData>
  <mergeCells count="70">
    <mergeCell ref="B5:L5"/>
    <mergeCell ref="B6:L6"/>
    <mergeCell ref="B8:L8"/>
    <mergeCell ref="B9:L9"/>
    <mergeCell ref="B12:C12"/>
    <mergeCell ref="D12:F12"/>
    <mergeCell ref="G12:H12"/>
    <mergeCell ref="I12:J12"/>
    <mergeCell ref="K12:L12"/>
    <mergeCell ref="B13:C13"/>
    <mergeCell ref="D13:F13"/>
    <mergeCell ref="G13:H13"/>
    <mergeCell ref="I13:J13"/>
    <mergeCell ref="K13:L13"/>
    <mergeCell ref="B15:F15"/>
    <mergeCell ref="G15:L15"/>
    <mergeCell ref="B16:D16"/>
    <mergeCell ref="E16:F16"/>
    <mergeCell ref="G16:I16"/>
    <mergeCell ref="J16:L16"/>
    <mergeCell ref="B17:D17"/>
    <mergeCell ref="E17:F17"/>
    <mergeCell ref="G17:I17"/>
    <mergeCell ref="J17:L17"/>
    <mergeCell ref="B18:D18"/>
    <mergeCell ref="E18:F18"/>
    <mergeCell ref="G18:I18"/>
    <mergeCell ref="J18:L18"/>
    <mergeCell ref="B19:D19"/>
    <mergeCell ref="E19:F19"/>
    <mergeCell ref="G19:I19"/>
    <mergeCell ref="J19:L19"/>
    <mergeCell ref="B20:D20"/>
    <mergeCell ref="E20:F20"/>
    <mergeCell ref="G20:I20"/>
    <mergeCell ref="J20:L20"/>
    <mergeCell ref="B21:D21"/>
    <mergeCell ref="E21:F21"/>
    <mergeCell ref="G21:I21"/>
    <mergeCell ref="J21:L21"/>
    <mergeCell ref="B22:D22"/>
    <mergeCell ref="E22:F22"/>
    <mergeCell ref="G22:I22"/>
    <mergeCell ref="J22:L22"/>
    <mergeCell ref="B23:D23"/>
    <mergeCell ref="E23:F23"/>
    <mergeCell ref="G23:I23"/>
    <mergeCell ref="J23:L23"/>
    <mergeCell ref="B25:L25"/>
    <mergeCell ref="B26:L29"/>
    <mergeCell ref="B31:L31"/>
    <mergeCell ref="B32:L32"/>
    <mergeCell ref="B36:L36"/>
    <mergeCell ref="B37:C37"/>
    <mergeCell ref="D37:L37"/>
    <mergeCell ref="B38:C38"/>
    <mergeCell ref="D38:L38"/>
    <mergeCell ref="B39:C39"/>
    <mergeCell ref="D39:L39"/>
    <mergeCell ref="B40:C40"/>
    <mergeCell ref="D40:L40"/>
    <mergeCell ref="B41:C41"/>
    <mergeCell ref="D41:L41"/>
    <mergeCell ref="B42:C42"/>
    <mergeCell ref="D42:L42"/>
    <mergeCell ref="B43:C43"/>
    <mergeCell ref="D43:L43"/>
    <mergeCell ref="B44:C44"/>
    <mergeCell ref="D44:L44"/>
    <mergeCell ref="B46:L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8" min="3" style="1" width="12"/>
    <col collapsed="false" customWidth="true" hidden="false" outlineLevel="0" max="9" min="9" style="1" width="40"/>
  </cols>
  <sheetData>
    <row r="2" customFormat="false" ht="18" hidden="false" customHeight="true" outlineLevel="0" collapsed="false">
      <c r="B2" s="26" t="s">
        <v>62</v>
      </c>
      <c r="C2" s="26"/>
      <c r="D2" s="26"/>
      <c r="E2" s="26"/>
      <c r="F2" s="26"/>
      <c r="G2" s="26"/>
      <c r="H2" s="26"/>
      <c r="I2" s="26"/>
    </row>
    <row r="3" customFormat="false" ht="18" hidden="false" customHeight="true" outlineLevel="0" collapsed="false">
      <c r="B3" s="27" t="s">
        <v>63</v>
      </c>
      <c r="C3" s="27"/>
      <c r="D3" s="27"/>
      <c r="E3" s="27"/>
      <c r="F3" s="27"/>
      <c r="G3" s="27"/>
      <c r="H3" s="27"/>
      <c r="I3" s="27"/>
    </row>
    <row r="4" customFormat="false" ht="6" hidden="false" customHeight="true" outlineLevel="0" collapsed="false">
      <c r="B4" s="28"/>
      <c r="C4" s="28"/>
      <c r="D4" s="28"/>
      <c r="E4" s="28"/>
      <c r="F4" s="28"/>
      <c r="G4" s="28"/>
      <c r="H4" s="28"/>
      <c r="I4" s="28"/>
    </row>
    <row r="5" customFormat="false" ht="19.5" hidden="false" customHeight="true" outlineLevel="0" collapsed="false">
      <c r="B5" s="29" t="s">
        <v>64</v>
      </c>
      <c r="C5" s="29"/>
      <c r="D5" s="29"/>
      <c r="E5" s="29"/>
      <c r="F5" s="29"/>
      <c r="G5" s="29"/>
      <c r="H5" s="29"/>
      <c r="I5" s="29"/>
    </row>
    <row r="6" customFormat="false" ht="18" hidden="false" customHeight="true" outlineLevel="0" collapsed="false">
      <c r="B6" s="30" t="s">
        <v>65</v>
      </c>
      <c r="C6" s="31" t="s">
        <v>66</v>
      </c>
      <c r="D6" s="31" t="s">
        <v>67</v>
      </c>
      <c r="E6" s="31" t="s">
        <v>68</v>
      </c>
      <c r="F6" s="31" t="s">
        <v>69</v>
      </c>
      <c r="G6" s="31"/>
      <c r="H6" s="30" t="s">
        <v>70</v>
      </c>
    </row>
    <row r="7" customFormat="false" ht="21.75" hidden="false" customHeight="true" outlineLevel="0" collapsed="false">
      <c r="B7" s="32" t="s">
        <v>71</v>
      </c>
      <c r="C7" s="33" t="n">
        <v>426.3</v>
      </c>
      <c r="D7" s="33" t="n">
        <v>29.6</v>
      </c>
      <c r="E7" s="34" t="n">
        <f aca="false">D7/C7</f>
        <v>0.0694346704198921</v>
      </c>
      <c r="F7" s="35" t="n">
        <v>0.1</v>
      </c>
      <c r="G7" s="28"/>
      <c r="H7" s="36" t="s">
        <v>72</v>
      </c>
    </row>
    <row r="8" customFormat="false" ht="21.75" hidden="false" customHeight="true" outlineLevel="0" collapsed="false">
      <c r="B8" s="32" t="s">
        <v>73</v>
      </c>
      <c r="C8" s="33" t="n">
        <v>161.9</v>
      </c>
      <c r="D8" s="33" t="n">
        <v>4.7</v>
      </c>
      <c r="E8" s="34" t="n">
        <f aca="false">D8/C8</f>
        <v>0.0290302655960469</v>
      </c>
      <c r="F8" s="35" t="n">
        <v>0.13</v>
      </c>
      <c r="G8" s="28"/>
      <c r="H8" s="36" t="s">
        <v>74</v>
      </c>
    </row>
    <row r="9" customFormat="false" ht="21.75" hidden="false" customHeight="true" outlineLevel="0" collapsed="false">
      <c r="B9" s="32" t="s">
        <v>75</v>
      </c>
      <c r="C9" s="33" t="n">
        <v>128.7</v>
      </c>
      <c r="D9" s="33" t="n">
        <v>45.6</v>
      </c>
      <c r="E9" s="34" t="n">
        <f aca="false">D9/C9</f>
        <v>0.354312354312354</v>
      </c>
      <c r="F9" s="35" t="n">
        <v>0.2</v>
      </c>
      <c r="G9" s="28"/>
      <c r="H9" s="36" t="s">
        <v>76</v>
      </c>
    </row>
    <row r="10" customFormat="false" ht="21.75" hidden="false" customHeight="true" outlineLevel="0" collapsed="false">
      <c r="B10" s="24" t="s">
        <v>77</v>
      </c>
      <c r="C10" s="37" t="n">
        <f aca="false">SUM(C7:C9)</f>
        <v>716.9</v>
      </c>
      <c r="D10" s="37" t="n">
        <f aca="false">SUM(D7:D9)</f>
        <v>79.9</v>
      </c>
      <c r="E10" s="38" t="n">
        <f aca="false">D10/C10</f>
        <v>0.111452085367555</v>
      </c>
      <c r="F10" s="39"/>
      <c r="G10" s="39"/>
      <c r="H10" s="36" t="s">
        <v>78</v>
      </c>
    </row>
    <row r="11" customFormat="false" ht="6" hidden="false" customHeight="true" outlineLevel="0" collapsed="false">
      <c r="B11" s="28"/>
      <c r="C11" s="28"/>
      <c r="D11" s="28"/>
      <c r="E11" s="28"/>
      <c r="F11" s="28"/>
      <c r="G11" s="28"/>
      <c r="H11" s="28"/>
      <c r="I11" s="28"/>
    </row>
    <row r="12" customFormat="false" ht="19.5" hidden="false" customHeight="true" outlineLevel="0" collapsed="false">
      <c r="B12" s="29" t="s">
        <v>79</v>
      </c>
      <c r="C12" s="29"/>
      <c r="D12" s="29"/>
      <c r="E12" s="29"/>
      <c r="F12" s="29"/>
      <c r="G12" s="29"/>
      <c r="H12" s="29"/>
      <c r="I12" s="29"/>
    </row>
    <row r="13" customFormat="false" ht="18" hidden="false" customHeight="true" outlineLevel="0" collapsed="false">
      <c r="B13" s="30" t="s">
        <v>65</v>
      </c>
      <c r="C13" s="31" t="s">
        <v>80</v>
      </c>
      <c r="D13" s="31" t="s">
        <v>81</v>
      </c>
      <c r="E13" s="31" t="s">
        <v>82</v>
      </c>
      <c r="F13" s="31" t="s">
        <v>83</v>
      </c>
      <c r="G13" s="31" t="s">
        <v>84</v>
      </c>
      <c r="H13" s="30" t="s">
        <v>85</v>
      </c>
    </row>
    <row r="14" customFormat="false" ht="21.75" hidden="false" customHeight="true" outlineLevel="0" collapsed="false">
      <c r="B14" s="15" t="s">
        <v>71</v>
      </c>
      <c r="C14" s="35" t="n">
        <v>0.09</v>
      </c>
      <c r="D14" s="35" t="n">
        <v>0.08</v>
      </c>
      <c r="E14" s="35" t="n">
        <v>0.075</v>
      </c>
      <c r="F14" s="35" t="n">
        <v>0.07</v>
      </c>
      <c r="G14" s="35" t="n">
        <v>0.065</v>
      </c>
      <c r="H14" s="36" t="s">
        <v>86</v>
      </c>
    </row>
    <row r="15" customFormat="false" ht="21.75" hidden="false" customHeight="true" outlineLevel="0" collapsed="false">
      <c r="B15" s="15" t="s">
        <v>73</v>
      </c>
      <c r="C15" s="35" t="n">
        <v>0.11</v>
      </c>
      <c r="D15" s="35" t="n">
        <v>0.1</v>
      </c>
      <c r="E15" s="35" t="n">
        <v>0.09</v>
      </c>
      <c r="F15" s="35" t="n">
        <v>0.085</v>
      </c>
      <c r="G15" s="35" t="n">
        <v>0.08</v>
      </c>
      <c r="H15" s="36" t="s">
        <v>87</v>
      </c>
    </row>
    <row r="16" customFormat="false" ht="21.75" hidden="false" customHeight="true" outlineLevel="0" collapsed="false">
      <c r="B16" s="15" t="s">
        <v>75</v>
      </c>
      <c r="C16" s="35" t="n">
        <v>0.2</v>
      </c>
      <c r="D16" s="35" t="n">
        <v>0.19</v>
      </c>
      <c r="E16" s="35" t="n">
        <v>0.17</v>
      </c>
      <c r="F16" s="35" t="n">
        <v>0.15</v>
      </c>
      <c r="G16" s="35" t="n">
        <v>0.13</v>
      </c>
      <c r="H16" s="36" t="s">
        <v>88</v>
      </c>
    </row>
    <row r="17" customFormat="false" ht="6" hidden="false" customHeight="true" outlineLevel="0" collapsed="false">
      <c r="B17" s="28"/>
      <c r="C17" s="28"/>
      <c r="D17" s="28"/>
      <c r="E17" s="28"/>
      <c r="F17" s="28"/>
      <c r="G17" s="28"/>
      <c r="H17" s="28"/>
      <c r="I17" s="28"/>
    </row>
    <row r="18" customFormat="false" ht="19.5" hidden="false" customHeight="true" outlineLevel="0" collapsed="false">
      <c r="B18" s="29" t="s">
        <v>89</v>
      </c>
      <c r="C18" s="29"/>
      <c r="D18" s="29"/>
      <c r="E18" s="29"/>
      <c r="F18" s="29"/>
      <c r="G18" s="29"/>
      <c r="H18" s="29"/>
      <c r="I18" s="29"/>
    </row>
    <row r="19" customFormat="false" ht="18" hidden="false" customHeight="true" outlineLevel="0" collapsed="false">
      <c r="B19" s="30" t="s">
        <v>65</v>
      </c>
      <c r="C19" s="31" t="s">
        <v>80</v>
      </c>
      <c r="D19" s="31" t="s">
        <v>81</v>
      </c>
      <c r="E19" s="31" t="s">
        <v>82</v>
      </c>
      <c r="F19" s="31" t="s">
        <v>83</v>
      </c>
      <c r="G19" s="31" t="s">
        <v>84</v>
      </c>
      <c r="H19" s="30" t="s">
        <v>85</v>
      </c>
    </row>
    <row r="20" customFormat="false" ht="21.75" hidden="false" customHeight="true" outlineLevel="0" collapsed="false">
      <c r="B20" s="15" t="s">
        <v>71</v>
      </c>
      <c r="C20" s="35" t="n">
        <v>0.075</v>
      </c>
      <c r="D20" s="35" t="n">
        <v>0.08</v>
      </c>
      <c r="E20" s="35" t="n">
        <v>0.085</v>
      </c>
      <c r="F20" s="35" t="n">
        <v>0.09</v>
      </c>
      <c r="G20" s="35" t="n">
        <v>0.095</v>
      </c>
      <c r="H20" s="36" t="s">
        <v>90</v>
      </c>
    </row>
    <row r="21" customFormat="false" ht="21.75" hidden="false" customHeight="true" outlineLevel="0" collapsed="false">
      <c r="B21" s="15" t="s">
        <v>73</v>
      </c>
      <c r="C21" s="35" t="n">
        <v>0.035</v>
      </c>
      <c r="D21" s="35" t="n">
        <v>0.04</v>
      </c>
      <c r="E21" s="35" t="n">
        <v>0.045</v>
      </c>
      <c r="F21" s="35" t="n">
        <v>0.05</v>
      </c>
      <c r="G21" s="35" t="n">
        <v>0.055</v>
      </c>
      <c r="H21" s="36" t="s">
        <v>91</v>
      </c>
    </row>
    <row r="22" customFormat="false" ht="21.75" hidden="false" customHeight="true" outlineLevel="0" collapsed="false">
      <c r="B22" s="15" t="s">
        <v>75</v>
      </c>
      <c r="C22" s="35" t="n">
        <v>0.35</v>
      </c>
      <c r="D22" s="35" t="n">
        <v>0.35</v>
      </c>
      <c r="E22" s="35" t="n">
        <v>0.355</v>
      </c>
      <c r="F22" s="35" t="n">
        <v>0.36</v>
      </c>
      <c r="G22" s="35" t="n">
        <v>0.36</v>
      </c>
      <c r="H22" s="36" t="s">
        <v>92</v>
      </c>
    </row>
    <row r="23" customFormat="false" ht="6" hidden="false" customHeight="true" outlineLevel="0" collapsed="false">
      <c r="B23" s="28"/>
      <c r="C23" s="28"/>
      <c r="D23" s="28"/>
      <c r="E23" s="28"/>
      <c r="F23" s="28"/>
      <c r="G23" s="28"/>
      <c r="H23" s="28"/>
      <c r="I23" s="28"/>
    </row>
    <row r="24" customFormat="false" ht="19.5" hidden="false" customHeight="true" outlineLevel="0" collapsed="false">
      <c r="B24" s="29" t="s">
        <v>93</v>
      </c>
      <c r="C24" s="29"/>
      <c r="D24" s="29"/>
      <c r="E24" s="29"/>
      <c r="F24" s="29"/>
      <c r="G24" s="29"/>
      <c r="H24" s="29"/>
      <c r="I24" s="29"/>
    </row>
    <row r="25" customFormat="false" ht="18" hidden="false" customHeight="true" outlineLevel="0" collapsed="false">
      <c r="B25" s="30" t="s">
        <v>94</v>
      </c>
      <c r="C25" s="31" t="s">
        <v>80</v>
      </c>
      <c r="D25" s="31" t="s">
        <v>81</v>
      </c>
      <c r="E25" s="31" t="s">
        <v>82</v>
      </c>
      <c r="F25" s="31" t="s">
        <v>83</v>
      </c>
      <c r="G25" s="31" t="s">
        <v>84</v>
      </c>
      <c r="H25" s="30" t="s">
        <v>85</v>
      </c>
    </row>
    <row r="26" customFormat="false" ht="21.75" hidden="false" customHeight="true" outlineLevel="0" collapsed="false">
      <c r="B26" s="15" t="s">
        <v>95</v>
      </c>
      <c r="C26" s="33" t="n">
        <v>200</v>
      </c>
      <c r="D26" s="33" t="n">
        <v>205</v>
      </c>
      <c r="E26" s="33" t="n">
        <v>195</v>
      </c>
      <c r="F26" s="33" t="n">
        <v>175</v>
      </c>
      <c r="G26" s="33" t="n">
        <v>165</v>
      </c>
      <c r="H26" s="36" t="s">
        <v>96</v>
      </c>
    </row>
    <row r="27" customFormat="false" ht="21.75" hidden="false" customHeight="true" outlineLevel="0" collapsed="false">
      <c r="B27" s="15" t="s">
        <v>97</v>
      </c>
      <c r="C27" s="33" t="n">
        <v>70</v>
      </c>
      <c r="D27" s="33" t="n">
        <v>88</v>
      </c>
      <c r="E27" s="33" t="n">
        <v>105</v>
      </c>
      <c r="F27" s="33" t="n">
        <v>118</v>
      </c>
      <c r="G27" s="33" t="n">
        <v>128</v>
      </c>
      <c r="H27" s="36" t="s">
        <v>98</v>
      </c>
    </row>
    <row r="28" customFormat="false" ht="21.75" hidden="false" customHeight="true" outlineLevel="0" collapsed="false">
      <c r="B28" s="15" t="s">
        <v>99</v>
      </c>
      <c r="C28" s="33" t="n">
        <v>8</v>
      </c>
      <c r="D28" s="33" t="n">
        <v>7</v>
      </c>
      <c r="E28" s="33" t="n">
        <v>7</v>
      </c>
      <c r="F28" s="33" t="n">
        <v>6</v>
      </c>
      <c r="G28" s="33" t="n">
        <v>6</v>
      </c>
      <c r="H28" s="36" t="s">
        <v>100</v>
      </c>
    </row>
    <row r="29" customFormat="false" ht="21.75" hidden="false" customHeight="true" outlineLevel="0" collapsed="false">
      <c r="B29" s="15" t="s">
        <v>101</v>
      </c>
      <c r="C29" s="35" t="n">
        <v>0.16</v>
      </c>
      <c r="D29" s="35" t="n">
        <v>0.16</v>
      </c>
      <c r="E29" s="35" t="n">
        <v>0.16</v>
      </c>
      <c r="F29" s="35" t="n">
        <v>0.16</v>
      </c>
      <c r="G29" s="35" t="n">
        <v>0.16</v>
      </c>
      <c r="H29" s="36" t="s">
        <v>102</v>
      </c>
    </row>
    <row r="30" customFormat="false" ht="6" hidden="false" customHeight="true" outlineLevel="0" collapsed="false">
      <c r="B30" s="28"/>
      <c r="C30" s="28"/>
      <c r="D30" s="28"/>
      <c r="E30" s="28"/>
      <c r="F30" s="28"/>
      <c r="G30" s="28"/>
      <c r="H30" s="28"/>
      <c r="I30" s="28"/>
    </row>
    <row r="31" customFormat="false" ht="19.5" hidden="false" customHeight="true" outlineLevel="0" collapsed="false">
      <c r="B31" s="29" t="s">
        <v>103</v>
      </c>
      <c r="C31" s="29"/>
      <c r="D31" s="29"/>
      <c r="E31" s="29"/>
      <c r="F31" s="29"/>
      <c r="G31" s="29"/>
      <c r="H31" s="29"/>
      <c r="I31" s="29"/>
    </row>
    <row r="32" customFormat="false" ht="18" hidden="false" customHeight="true" outlineLevel="0" collapsed="false">
      <c r="B32" s="30" t="s">
        <v>104</v>
      </c>
      <c r="C32" s="31" t="s">
        <v>105</v>
      </c>
      <c r="D32" s="30" t="s">
        <v>106</v>
      </c>
      <c r="E32" s="30"/>
      <c r="F32" s="30"/>
      <c r="G32" s="30"/>
      <c r="H32" s="30"/>
    </row>
    <row r="33" customFormat="false" ht="21.75" hidden="false" customHeight="true" outlineLevel="0" collapsed="false">
      <c r="B33" s="15" t="s">
        <v>107</v>
      </c>
      <c r="C33" s="35" t="n">
        <v>0.09</v>
      </c>
      <c r="D33" s="36" t="s">
        <v>108</v>
      </c>
      <c r="E33" s="36"/>
      <c r="F33" s="36"/>
      <c r="G33" s="36"/>
      <c r="H33" s="36"/>
    </row>
    <row r="34" customFormat="false" ht="21.75" hidden="false" customHeight="true" outlineLevel="0" collapsed="false">
      <c r="B34" s="15" t="s">
        <v>109</v>
      </c>
      <c r="C34" s="35" t="n">
        <v>0.085</v>
      </c>
      <c r="D34" s="36" t="s">
        <v>110</v>
      </c>
      <c r="E34" s="36"/>
      <c r="F34" s="36"/>
      <c r="G34" s="36"/>
      <c r="H34" s="36"/>
    </row>
    <row r="35" customFormat="false" ht="21.75" hidden="false" customHeight="true" outlineLevel="0" collapsed="false">
      <c r="B35" s="15" t="s">
        <v>111</v>
      </c>
      <c r="C35" s="35" t="n">
        <v>0.087</v>
      </c>
      <c r="D35" s="36" t="s">
        <v>112</v>
      </c>
      <c r="E35" s="36"/>
      <c r="F35" s="36"/>
      <c r="G35" s="36"/>
      <c r="H35" s="36"/>
    </row>
    <row r="36" customFormat="false" ht="21.75" hidden="false" customHeight="true" outlineLevel="0" collapsed="false">
      <c r="B36" s="15" t="s">
        <v>113</v>
      </c>
      <c r="C36" s="35" t="n">
        <v>0.04</v>
      </c>
      <c r="D36" s="36" t="s">
        <v>114</v>
      </c>
      <c r="E36" s="36"/>
      <c r="F36" s="36"/>
      <c r="G36" s="36"/>
      <c r="H36" s="36"/>
    </row>
    <row r="37" customFormat="false" ht="21.75" hidden="false" customHeight="true" outlineLevel="0" collapsed="false">
      <c r="B37" s="15" t="s">
        <v>115</v>
      </c>
      <c r="C37" s="35" t="n">
        <v>0.03</v>
      </c>
      <c r="D37" s="36" t="s">
        <v>116</v>
      </c>
      <c r="E37" s="36"/>
      <c r="F37" s="36"/>
      <c r="G37" s="36"/>
      <c r="H37" s="36"/>
    </row>
    <row r="38" customFormat="false" ht="21.75" hidden="false" customHeight="true" outlineLevel="0" collapsed="false">
      <c r="B38" s="15" t="s">
        <v>117</v>
      </c>
      <c r="C38" s="40" t="n">
        <v>22</v>
      </c>
      <c r="D38" s="36" t="s">
        <v>118</v>
      </c>
      <c r="E38" s="36"/>
      <c r="F38" s="36"/>
      <c r="G38" s="36"/>
      <c r="H38" s="36"/>
    </row>
    <row r="39" customFormat="false" ht="21.75" hidden="false" customHeight="true" outlineLevel="0" collapsed="false">
      <c r="B39" s="15" t="s">
        <v>119</v>
      </c>
      <c r="C39" s="40" t="n">
        <v>18</v>
      </c>
      <c r="D39" s="36" t="s">
        <v>120</v>
      </c>
      <c r="E39" s="36"/>
      <c r="F39" s="36"/>
      <c r="G39" s="36"/>
      <c r="H39" s="36"/>
    </row>
    <row r="40" customFormat="false" ht="21.75" hidden="false" customHeight="true" outlineLevel="0" collapsed="false">
      <c r="B40" s="15" t="s">
        <v>121</v>
      </c>
      <c r="C40" s="40" t="n">
        <v>14</v>
      </c>
      <c r="D40" s="36" t="s">
        <v>122</v>
      </c>
      <c r="E40" s="36"/>
      <c r="F40" s="36"/>
      <c r="G40" s="36"/>
      <c r="H40" s="36"/>
    </row>
    <row r="41" customFormat="false" ht="21.75" hidden="false" customHeight="true" outlineLevel="0" collapsed="false">
      <c r="B41" s="15" t="s">
        <v>123</v>
      </c>
      <c r="C41" s="33" t="n">
        <v>25</v>
      </c>
      <c r="D41" s="36" t="s">
        <v>124</v>
      </c>
      <c r="E41" s="36"/>
      <c r="F41" s="36"/>
      <c r="G41" s="36"/>
      <c r="H41" s="36"/>
    </row>
    <row r="42" customFormat="false" ht="21.75" hidden="false" customHeight="true" outlineLevel="0" collapsed="false">
      <c r="B42" s="15" t="s">
        <v>125</v>
      </c>
      <c r="C42" s="41" t="n">
        <v>10.76</v>
      </c>
      <c r="D42" s="36" t="s">
        <v>126</v>
      </c>
      <c r="E42" s="36"/>
      <c r="F42" s="36"/>
      <c r="G42" s="36"/>
      <c r="H42" s="36"/>
    </row>
    <row r="43" customFormat="false" ht="21.75" hidden="false" customHeight="true" outlineLevel="0" collapsed="false">
      <c r="B43" s="15" t="s">
        <v>127</v>
      </c>
      <c r="C43" s="42" t="n">
        <v>235.5</v>
      </c>
      <c r="D43" s="36" t="s">
        <v>128</v>
      </c>
      <c r="E43" s="36"/>
      <c r="F43" s="36"/>
      <c r="G43" s="36"/>
      <c r="H43" s="36"/>
    </row>
  </sheetData>
  <mergeCells count="19">
    <mergeCell ref="B2:I2"/>
    <mergeCell ref="B3:I3"/>
    <mergeCell ref="B5:I5"/>
    <mergeCell ref="B12:I12"/>
    <mergeCell ref="B18:I18"/>
    <mergeCell ref="B24:I24"/>
    <mergeCell ref="B31:I31"/>
    <mergeCell ref="D32:H32"/>
    <mergeCell ref="D33:H33"/>
    <mergeCell ref="D34:H34"/>
    <mergeCell ref="D35:H35"/>
    <mergeCell ref="D36:H36"/>
    <mergeCell ref="D37:H37"/>
    <mergeCell ref="D38:H38"/>
    <mergeCell ref="D39:H39"/>
    <mergeCell ref="D40:H40"/>
    <mergeCell ref="D41:H41"/>
    <mergeCell ref="D42:H42"/>
    <mergeCell ref="D43:H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9" min="3" style="1" width="13"/>
  </cols>
  <sheetData>
    <row r="2" customFormat="false" ht="18" hidden="false" customHeight="true" outlineLevel="0" collapsed="false">
      <c r="B2" s="26" t="s">
        <v>129</v>
      </c>
      <c r="C2" s="26"/>
      <c r="D2" s="26"/>
      <c r="E2" s="26"/>
      <c r="F2" s="26"/>
      <c r="G2" s="26"/>
      <c r="H2" s="26"/>
      <c r="I2" s="26"/>
    </row>
    <row r="3" customFormat="false" ht="18" hidden="false" customHeight="true" outlineLevel="0" collapsed="false">
      <c r="B3" s="27" t="s">
        <v>130</v>
      </c>
      <c r="C3" s="27"/>
      <c r="D3" s="27"/>
      <c r="E3" s="27"/>
      <c r="F3" s="27"/>
      <c r="G3" s="27"/>
      <c r="H3" s="27"/>
      <c r="I3" s="27"/>
    </row>
    <row r="4" customFormat="false" ht="6" hidden="false" customHeight="true" outlineLevel="0" collapsed="false">
      <c r="B4" s="28"/>
      <c r="C4" s="28"/>
      <c r="D4" s="28"/>
      <c r="E4" s="28"/>
      <c r="F4" s="28"/>
      <c r="G4" s="28"/>
      <c r="H4" s="28"/>
      <c r="I4" s="28"/>
    </row>
    <row r="5" customFormat="false" ht="19.5" hidden="false" customHeight="true" outlineLevel="0" collapsed="false">
      <c r="B5" s="29" t="s">
        <v>131</v>
      </c>
      <c r="C5" s="29"/>
      <c r="D5" s="29"/>
      <c r="E5" s="29"/>
      <c r="F5" s="29"/>
      <c r="G5" s="29"/>
      <c r="H5" s="29"/>
      <c r="I5" s="29"/>
    </row>
    <row r="6" customFormat="false" ht="18" hidden="false" customHeight="true" outlineLevel="0" collapsed="false">
      <c r="B6" s="30" t="s">
        <v>132</v>
      </c>
      <c r="C6" s="31" t="s">
        <v>133</v>
      </c>
      <c r="D6" s="31" t="s">
        <v>80</v>
      </c>
      <c r="E6" s="31" t="s">
        <v>81</v>
      </c>
      <c r="F6" s="31" t="s">
        <v>82</v>
      </c>
      <c r="G6" s="31" t="s">
        <v>83</v>
      </c>
      <c r="H6" s="31" t="s">
        <v>84</v>
      </c>
      <c r="I6" s="31"/>
    </row>
    <row r="7" customFormat="false" ht="15.75" hidden="false" customHeight="true" outlineLevel="0" collapsed="false">
      <c r="B7" s="43" t="s">
        <v>66</v>
      </c>
      <c r="C7" s="44" t="n">
        <f aca="false">Assumptions!C7</f>
        <v>426.3</v>
      </c>
      <c r="D7" s="45" t="n">
        <f aca="false">C7*(1+Assumptions!C14)</f>
        <v>464.667</v>
      </c>
      <c r="E7" s="45" t="n">
        <f aca="false">D7*(1+Assumptions!D14)</f>
        <v>501.84036</v>
      </c>
      <c r="F7" s="45" t="n">
        <f aca="false">E7*(1+Assumptions!E14)</f>
        <v>539.478387</v>
      </c>
      <c r="G7" s="45" t="n">
        <f aca="false">F7*(1+Assumptions!F14)</f>
        <v>577.24187409</v>
      </c>
      <c r="H7" s="45" t="n">
        <f aca="false">G7*(1+Assumptions!G14)</f>
        <v>614.76259590585</v>
      </c>
    </row>
    <row r="8" customFormat="false" ht="15.75" hidden="false" customHeight="true" outlineLevel="0" collapsed="false">
      <c r="B8" s="15" t="s">
        <v>134</v>
      </c>
      <c r="C8" s="39"/>
      <c r="D8" s="46" t="n">
        <f aca="false">Assumptions!C14</f>
        <v>0.09</v>
      </c>
      <c r="E8" s="46" t="n">
        <f aca="false">Assumptions!D14</f>
        <v>0.08</v>
      </c>
      <c r="F8" s="46" t="n">
        <f aca="false">Assumptions!E14</f>
        <v>0.075</v>
      </c>
      <c r="G8" s="46" t="n">
        <f aca="false">Assumptions!F14</f>
        <v>0.07</v>
      </c>
      <c r="H8" s="46" t="n">
        <f aca="false">Assumptions!G14</f>
        <v>0.065</v>
      </c>
    </row>
    <row r="9" customFormat="false" ht="15.75" hidden="false" customHeight="true" outlineLevel="0" collapsed="false">
      <c r="B9" s="15" t="s">
        <v>135</v>
      </c>
      <c r="C9" s="47" t="n">
        <f aca="false">Assumptions!E7</f>
        <v>0.0694346704198921</v>
      </c>
      <c r="D9" s="46" t="n">
        <f aca="false">Assumptions!C20</f>
        <v>0.075</v>
      </c>
      <c r="E9" s="46" t="n">
        <f aca="false">Assumptions!D20</f>
        <v>0.08</v>
      </c>
      <c r="F9" s="46" t="n">
        <f aca="false">Assumptions!E20</f>
        <v>0.085</v>
      </c>
      <c r="G9" s="46" t="n">
        <f aca="false">Assumptions!F20</f>
        <v>0.09</v>
      </c>
      <c r="H9" s="46" t="n">
        <f aca="false">Assumptions!G20</f>
        <v>0.095</v>
      </c>
    </row>
    <row r="10" customFormat="false" ht="15.75" hidden="false" customHeight="true" outlineLevel="0" collapsed="false">
      <c r="B10" s="43" t="s">
        <v>18</v>
      </c>
      <c r="C10" s="44" t="n">
        <f aca="false">Assumptions!D7</f>
        <v>29.6</v>
      </c>
      <c r="D10" s="45" t="n">
        <f aca="false">D7*D9</f>
        <v>34.850025</v>
      </c>
      <c r="E10" s="45" t="n">
        <f aca="false">E7*E9</f>
        <v>40.1472288</v>
      </c>
      <c r="F10" s="45" t="n">
        <f aca="false">F7*F9</f>
        <v>45.855662895</v>
      </c>
      <c r="G10" s="45" t="n">
        <f aca="false">G7*G9</f>
        <v>51.9517686681</v>
      </c>
      <c r="H10" s="45" t="n">
        <f aca="false">H7*H9</f>
        <v>58.4024466110558</v>
      </c>
    </row>
    <row r="11" customFormat="false" ht="6" hidden="false" customHeight="true" outlineLevel="0" collapsed="false">
      <c r="B11" s="28"/>
      <c r="C11" s="28"/>
      <c r="D11" s="28"/>
      <c r="E11" s="28"/>
      <c r="F11" s="28"/>
      <c r="G11" s="28"/>
      <c r="H11" s="28"/>
      <c r="I11" s="28"/>
    </row>
    <row r="12" customFormat="false" ht="19.5" hidden="false" customHeight="true" outlineLevel="0" collapsed="false">
      <c r="B12" s="29" t="s">
        <v>136</v>
      </c>
      <c r="C12" s="29"/>
      <c r="D12" s="29"/>
      <c r="E12" s="29"/>
      <c r="F12" s="29"/>
      <c r="G12" s="29"/>
      <c r="H12" s="29"/>
      <c r="I12" s="29"/>
    </row>
    <row r="13" customFormat="false" ht="18" hidden="false" customHeight="true" outlineLevel="0" collapsed="false">
      <c r="B13" s="30" t="s">
        <v>132</v>
      </c>
      <c r="C13" s="31" t="s">
        <v>133</v>
      </c>
      <c r="D13" s="31" t="s">
        <v>80</v>
      </c>
      <c r="E13" s="31" t="s">
        <v>81</v>
      </c>
      <c r="F13" s="31" t="s">
        <v>82</v>
      </c>
      <c r="G13" s="31" t="s">
        <v>83</v>
      </c>
      <c r="H13" s="31" t="s">
        <v>84</v>
      </c>
      <c r="I13" s="31"/>
    </row>
    <row r="14" customFormat="false" ht="15.75" hidden="false" customHeight="true" outlineLevel="0" collapsed="false">
      <c r="B14" s="43" t="s">
        <v>66</v>
      </c>
      <c r="C14" s="44" t="n">
        <f aca="false">Assumptions!C8</f>
        <v>161.9</v>
      </c>
      <c r="D14" s="45" t="n">
        <f aca="false">C14*(1+Assumptions!C15)</f>
        <v>179.709</v>
      </c>
      <c r="E14" s="45" t="n">
        <f aca="false">D14*(1+Assumptions!D15)</f>
        <v>197.6799</v>
      </c>
      <c r="F14" s="45" t="n">
        <f aca="false">E14*(1+Assumptions!E15)</f>
        <v>215.471091</v>
      </c>
      <c r="G14" s="45" t="n">
        <f aca="false">F14*(1+Assumptions!F15)</f>
        <v>233.786133735</v>
      </c>
      <c r="H14" s="45" t="n">
        <f aca="false">G14*(1+Assumptions!G15)</f>
        <v>252.4890244338</v>
      </c>
    </row>
    <row r="15" customFormat="false" ht="15.75" hidden="false" customHeight="true" outlineLevel="0" collapsed="false">
      <c r="B15" s="15" t="s">
        <v>134</v>
      </c>
      <c r="C15" s="39"/>
      <c r="D15" s="46" t="n">
        <f aca="false">Assumptions!C15</f>
        <v>0.11</v>
      </c>
      <c r="E15" s="46" t="n">
        <f aca="false">Assumptions!D15</f>
        <v>0.1</v>
      </c>
      <c r="F15" s="46" t="n">
        <f aca="false">Assumptions!E15</f>
        <v>0.09</v>
      </c>
      <c r="G15" s="46" t="n">
        <f aca="false">Assumptions!F15</f>
        <v>0.085</v>
      </c>
      <c r="H15" s="46" t="n">
        <f aca="false">Assumptions!G15</f>
        <v>0.08</v>
      </c>
    </row>
    <row r="16" customFormat="false" ht="15.75" hidden="false" customHeight="true" outlineLevel="0" collapsed="false">
      <c r="B16" s="15" t="s">
        <v>135</v>
      </c>
      <c r="C16" s="47" t="n">
        <f aca="false">Assumptions!E8</f>
        <v>0.0290302655960469</v>
      </c>
      <c r="D16" s="46" t="n">
        <f aca="false">Assumptions!C21</f>
        <v>0.035</v>
      </c>
      <c r="E16" s="46" t="n">
        <f aca="false">Assumptions!D21</f>
        <v>0.04</v>
      </c>
      <c r="F16" s="46" t="n">
        <f aca="false">Assumptions!E21</f>
        <v>0.045</v>
      </c>
      <c r="G16" s="46" t="n">
        <f aca="false">Assumptions!F21</f>
        <v>0.05</v>
      </c>
      <c r="H16" s="46" t="n">
        <f aca="false">Assumptions!G21</f>
        <v>0.055</v>
      </c>
    </row>
    <row r="17" customFormat="false" ht="15.75" hidden="false" customHeight="true" outlineLevel="0" collapsed="false">
      <c r="B17" s="43" t="s">
        <v>18</v>
      </c>
      <c r="C17" s="44" t="n">
        <f aca="false">Assumptions!D8</f>
        <v>4.7</v>
      </c>
      <c r="D17" s="45" t="n">
        <f aca="false">D14*D16</f>
        <v>6.289815</v>
      </c>
      <c r="E17" s="45" t="n">
        <f aca="false">E14*E16</f>
        <v>7.907196</v>
      </c>
      <c r="F17" s="45" t="n">
        <f aca="false">F14*F16</f>
        <v>9.696199095</v>
      </c>
      <c r="G17" s="45" t="n">
        <f aca="false">G14*G16</f>
        <v>11.68930668675</v>
      </c>
      <c r="H17" s="45" t="n">
        <f aca="false">H14*H16</f>
        <v>13.886896343859</v>
      </c>
    </row>
    <row r="18" customFormat="false" ht="6" hidden="false" customHeight="true" outlineLevel="0" collapsed="false">
      <c r="B18" s="28"/>
      <c r="C18" s="28"/>
      <c r="D18" s="28"/>
      <c r="E18" s="28"/>
      <c r="F18" s="28"/>
      <c r="G18" s="28"/>
      <c r="H18" s="28"/>
      <c r="I18" s="28"/>
    </row>
    <row r="19" customFormat="false" ht="19.5" hidden="false" customHeight="true" outlineLevel="0" collapsed="false">
      <c r="B19" s="29" t="s">
        <v>75</v>
      </c>
      <c r="C19" s="29"/>
      <c r="D19" s="29"/>
      <c r="E19" s="29"/>
      <c r="F19" s="29"/>
      <c r="G19" s="29"/>
      <c r="H19" s="29"/>
      <c r="I19" s="29"/>
    </row>
    <row r="20" customFormat="false" ht="18" hidden="false" customHeight="true" outlineLevel="0" collapsed="false">
      <c r="B20" s="30" t="s">
        <v>132</v>
      </c>
      <c r="C20" s="31" t="s">
        <v>133</v>
      </c>
      <c r="D20" s="31" t="s">
        <v>80</v>
      </c>
      <c r="E20" s="31" t="s">
        <v>81</v>
      </c>
      <c r="F20" s="31" t="s">
        <v>82</v>
      </c>
      <c r="G20" s="31" t="s">
        <v>83</v>
      </c>
      <c r="H20" s="31" t="s">
        <v>84</v>
      </c>
      <c r="I20" s="31"/>
    </row>
    <row r="21" customFormat="false" ht="15.75" hidden="false" customHeight="true" outlineLevel="0" collapsed="false">
      <c r="B21" s="43" t="s">
        <v>66</v>
      </c>
      <c r="C21" s="44" t="n">
        <f aca="false">Assumptions!C9</f>
        <v>128.7</v>
      </c>
      <c r="D21" s="45" t="n">
        <f aca="false">C21*(1+Assumptions!C16)</f>
        <v>154.44</v>
      </c>
      <c r="E21" s="45" t="n">
        <f aca="false">D21*(1+Assumptions!D16)</f>
        <v>183.7836</v>
      </c>
      <c r="F21" s="45" t="n">
        <f aca="false">E21*(1+Assumptions!E16)</f>
        <v>215.026812</v>
      </c>
      <c r="G21" s="45" t="n">
        <f aca="false">F21*(1+Assumptions!F16)</f>
        <v>247.2808338</v>
      </c>
      <c r="H21" s="45" t="n">
        <f aca="false">G21*(1+Assumptions!G16)</f>
        <v>279.427342194</v>
      </c>
    </row>
    <row r="22" customFormat="false" ht="15.75" hidden="false" customHeight="true" outlineLevel="0" collapsed="false">
      <c r="B22" s="15" t="s">
        <v>134</v>
      </c>
      <c r="C22" s="39"/>
      <c r="D22" s="46" t="n">
        <f aca="false">Assumptions!C16</f>
        <v>0.2</v>
      </c>
      <c r="E22" s="46" t="n">
        <f aca="false">Assumptions!D16</f>
        <v>0.19</v>
      </c>
      <c r="F22" s="46" t="n">
        <f aca="false">Assumptions!E16</f>
        <v>0.17</v>
      </c>
      <c r="G22" s="46" t="n">
        <f aca="false">Assumptions!F16</f>
        <v>0.15</v>
      </c>
      <c r="H22" s="46" t="n">
        <f aca="false">Assumptions!G16</f>
        <v>0.13</v>
      </c>
    </row>
    <row r="23" customFormat="false" ht="15.75" hidden="false" customHeight="true" outlineLevel="0" collapsed="false">
      <c r="B23" s="15" t="s">
        <v>135</v>
      </c>
      <c r="C23" s="47" t="n">
        <f aca="false">Assumptions!E9</f>
        <v>0.354312354312354</v>
      </c>
      <c r="D23" s="46" t="n">
        <f aca="false">Assumptions!C22</f>
        <v>0.35</v>
      </c>
      <c r="E23" s="46" t="n">
        <f aca="false">Assumptions!D22</f>
        <v>0.35</v>
      </c>
      <c r="F23" s="46" t="n">
        <f aca="false">Assumptions!E22</f>
        <v>0.355</v>
      </c>
      <c r="G23" s="46" t="n">
        <f aca="false">Assumptions!F22</f>
        <v>0.36</v>
      </c>
      <c r="H23" s="46" t="n">
        <f aca="false">Assumptions!G22</f>
        <v>0.36</v>
      </c>
    </row>
    <row r="24" customFormat="false" ht="15.75" hidden="false" customHeight="true" outlineLevel="0" collapsed="false">
      <c r="B24" s="43" t="s">
        <v>18</v>
      </c>
      <c r="C24" s="44" t="n">
        <f aca="false">Assumptions!D9</f>
        <v>45.6</v>
      </c>
      <c r="D24" s="45" t="n">
        <f aca="false">D21*D23</f>
        <v>54.054</v>
      </c>
      <c r="E24" s="45" t="n">
        <f aca="false">E21*E23</f>
        <v>64.32426</v>
      </c>
      <c r="F24" s="45" t="n">
        <f aca="false">F21*F23</f>
        <v>76.33451826</v>
      </c>
      <c r="G24" s="45" t="n">
        <f aca="false">G21*G23</f>
        <v>89.021100168</v>
      </c>
      <c r="H24" s="45" t="n">
        <f aca="false">H21*H23</f>
        <v>100.59384318984</v>
      </c>
    </row>
    <row r="25" customFormat="false" ht="6" hidden="false" customHeight="true" outlineLevel="0" collapsed="false">
      <c r="B25" s="28"/>
      <c r="C25" s="28"/>
      <c r="D25" s="28"/>
      <c r="E25" s="28"/>
      <c r="F25" s="28"/>
      <c r="G25" s="28"/>
      <c r="H25" s="28"/>
      <c r="I25" s="28"/>
    </row>
    <row r="26" customFormat="false" ht="19.5" hidden="false" customHeight="true" outlineLevel="0" collapsed="false">
      <c r="B26" s="29" t="s">
        <v>137</v>
      </c>
      <c r="C26" s="29"/>
      <c r="D26" s="29"/>
      <c r="E26" s="29"/>
      <c r="F26" s="29"/>
      <c r="G26" s="29"/>
      <c r="H26" s="29"/>
      <c r="I26" s="29"/>
    </row>
    <row r="27" customFormat="false" ht="18" hidden="false" customHeight="true" outlineLevel="0" collapsed="false">
      <c r="B27" s="30" t="s">
        <v>132</v>
      </c>
      <c r="C27" s="31" t="s">
        <v>133</v>
      </c>
      <c r="D27" s="31" t="s">
        <v>80</v>
      </c>
      <c r="E27" s="31" t="s">
        <v>81</v>
      </c>
      <c r="F27" s="31" t="s">
        <v>82</v>
      </c>
      <c r="G27" s="31" t="s">
        <v>83</v>
      </c>
      <c r="H27" s="31" t="s">
        <v>84</v>
      </c>
      <c r="I27" s="31"/>
    </row>
    <row r="28" customFormat="false" ht="15.75" hidden="false" customHeight="true" outlineLevel="0" collapsed="false">
      <c r="B28" s="48" t="s">
        <v>14</v>
      </c>
      <c r="C28" s="49" t="n">
        <f aca="false">C7+C14+C21</f>
        <v>716.9</v>
      </c>
      <c r="D28" s="49" t="n">
        <f aca="false">D7+D14+D21</f>
        <v>798.816</v>
      </c>
      <c r="E28" s="49" t="n">
        <f aca="false">E7+E14+E21</f>
        <v>883.30386</v>
      </c>
      <c r="F28" s="49" t="n">
        <f aca="false">F7+F14+F21</f>
        <v>969.97629</v>
      </c>
      <c r="G28" s="49" t="n">
        <f aca="false">G7+G14+G21</f>
        <v>1058.308841625</v>
      </c>
      <c r="H28" s="49" t="n">
        <f aca="false">H7+H14+H21</f>
        <v>1146.67896253365</v>
      </c>
    </row>
    <row r="29" customFormat="false" ht="15.75" hidden="false" customHeight="true" outlineLevel="0" collapsed="false">
      <c r="B29" s="15" t="s">
        <v>138</v>
      </c>
      <c r="C29" s="39"/>
      <c r="D29" s="50" t="n">
        <f aca="false">D28/C28-1</f>
        <v>0.114264193053424</v>
      </c>
      <c r="E29" s="50" t="n">
        <f aca="false">E28/D28-1</f>
        <v>0.105766359211633</v>
      </c>
      <c r="F29" s="50" t="n">
        <f aca="false">F28/E28-1</f>
        <v>0.0981230060513945</v>
      </c>
      <c r="G29" s="50" t="n">
        <f aca="false">G28/F28-1</f>
        <v>0.0910667121822122</v>
      </c>
      <c r="H29" s="50" t="n">
        <f aca="false">H28/G28-1</f>
        <v>0.083501259209892</v>
      </c>
    </row>
    <row r="30" customFormat="false" ht="15.75" hidden="false" customHeight="true" outlineLevel="0" collapsed="false">
      <c r="B30" s="48" t="s">
        <v>139</v>
      </c>
      <c r="C30" s="49" t="n">
        <f aca="false">C10+C17+C24</f>
        <v>79.9</v>
      </c>
      <c r="D30" s="49" t="n">
        <f aca="false">D10+D17+D24</f>
        <v>95.19384</v>
      </c>
      <c r="E30" s="49" t="n">
        <f aca="false">E10+E17+E24</f>
        <v>112.3786848</v>
      </c>
      <c r="F30" s="49" t="n">
        <f aca="false">F10+F17+F24</f>
        <v>131.88638025</v>
      </c>
      <c r="G30" s="49" t="n">
        <f aca="false">G10+G17+G24</f>
        <v>152.66217552285</v>
      </c>
      <c r="H30" s="49" t="n">
        <f aca="false">H10+H17+H24</f>
        <v>172.883186144755</v>
      </c>
    </row>
    <row r="31" customFormat="false" ht="15.75" hidden="false" customHeight="true" outlineLevel="0" collapsed="false">
      <c r="B31" s="15" t="s">
        <v>140</v>
      </c>
      <c r="C31" s="50" t="n">
        <f aca="false">C30/C28</f>
        <v>0.111452085367555</v>
      </c>
      <c r="D31" s="50" t="n">
        <f aca="false">D30/D28</f>
        <v>0.119168669631054</v>
      </c>
      <c r="E31" s="50" t="n">
        <f aca="false">E30/E28</f>
        <v>0.127225397611191</v>
      </c>
      <c r="F31" s="50" t="n">
        <f aca="false">F30/F28</f>
        <v>0.135968663986622</v>
      </c>
      <c r="G31" s="50" t="n">
        <f aca="false">G30/G28</f>
        <v>0.144251063128644</v>
      </c>
      <c r="H31" s="50" t="n">
        <f aca="false">H30/H28</f>
        <v>0.15076860376226</v>
      </c>
    </row>
    <row r="32" customFormat="false" ht="6" hidden="false" customHeight="true" outlineLevel="0" collapsed="false">
      <c r="B32" s="28"/>
      <c r="C32" s="28"/>
      <c r="D32" s="28"/>
      <c r="E32" s="28"/>
      <c r="F32" s="28"/>
      <c r="G32" s="28"/>
      <c r="H32" s="28"/>
      <c r="I32" s="28"/>
    </row>
    <row r="33" customFormat="false" ht="21.75" hidden="false" customHeight="true" outlineLevel="0" collapsed="false">
      <c r="B33" s="36" t="s">
        <v>141</v>
      </c>
      <c r="C33" s="36"/>
      <c r="D33" s="36"/>
      <c r="E33" s="36"/>
      <c r="F33" s="36"/>
      <c r="G33" s="36"/>
      <c r="H33" s="36"/>
    </row>
  </sheetData>
  <mergeCells count="7">
    <mergeCell ref="B2:I2"/>
    <mergeCell ref="B3:I3"/>
    <mergeCell ref="B5:I5"/>
    <mergeCell ref="B12:I12"/>
    <mergeCell ref="B19:I19"/>
    <mergeCell ref="B26:I26"/>
    <mergeCell ref="B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8" min="3" style="1" width="15"/>
  </cols>
  <sheetData>
    <row r="2" customFormat="false" ht="18" hidden="false" customHeight="true" outlineLevel="0" collapsed="false">
      <c r="B2" s="26" t="s">
        <v>142</v>
      </c>
      <c r="C2" s="26"/>
      <c r="D2" s="26"/>
      <c r="E2" s="26"/>
      <c r="F2" s="26"/>
      <c r="G2" s="26"/>
      <c r="H2" s="26"/>
    </row>
    <row r="3" customFormat="false" ht="18" hidden="false" customHeight="true" outlineLevel="0" collapsed="false">
      <c r="B3" s="27" t="s">
        <v>143</v>
      </c>
      <c r="C3" s="27"/>
      <c r="D3" s="27"/>
      <c r="E3" s="27"/>
      <c r="F3" s="27"/>
      <c r="G3" s="27"/>
      <c r="H3" s="27"/>
    </row>
    <row r="4" customFormat="false" ht="6" hidden="false" customHeight="true" outlineLevel="0" collapsed="false">
      <c r="B4" s="28"/>
      <c r="C4" s="28"/>
      <c r="D4" s="28"/>
      <c r="E4" s="28"/>
      <c r="F4" s="28"/>
      <c r="G4" s="28"/>
      <c r="H4" s="28"/>
    </row>
    <row r="5" customFormat="false" ht="19.5" hidden="false" customHeight="true" outlineLevel="0" collapsed="false">
      <c r="B5" s="29" t="s">
        <v>144</v>
      </c>
      <c r="C5" s="29"/>
      <c r="D5" s="29"/>
      <c r="E5" s="29"/>
      <c r="F5" s="29"/>
      <c r="G5" s="29"/>
      <c r="H5" s="29"/>
    </row>
    <row r="6" customFormat="false" ht="18" hidden="false" customHeight="true" outlineLevel="0" collapsed="false">
      <c r="B6" s="30" t="s">
        <v>65</v>
      </c>
      <c r="C6" s="31" t="s">
        <v>145</v>
      </c>
      <c r="D6" s="31" t="s">
        <v>146</v>
      </c>
      <c r="E6" s="31" t="s">
        <v>147</v>
      </c>
      <c r="F6" s="31" t="s">
        <v>148</v>
      </c>
      <c r="G6" s="31" t="s">
        <v>149</v>
      </c>
    </row>
    <row r="7" customFormat="false" ht="15.75" hidden="false" customHeight="true" outlineLevel="0" collapsed="false">
      <c r="B7" s="32" t="s">
        <v>71</v>
      </c>
      <c r="C7" s="51" t="n">
        <f aca="false">Segment_Model!H10</f>
        <v>58.4024466110558</v>
      </c>
      <c r="D7" s="52" t="n">
        <f aca="false">Assumptions!C39</f>
        <v>18</v>
      </c>
      <c r="E7" s="53" t="n">
        <f aca="false">C7*D7</f>
        <v>1051.244038999</v>
      </c>
      <c r="F7" s="54" t="n">
        <f aca="false">1/(1+Assumptions!C35)^5</f>
        <v>0.658949722711841</v>
      </c>
      <c r="G7" s="45" t="n">
        <f aca="false">E7*F7</f>
        <v>692.716968000869</v>
      </c>
    </row>
    <row r="8" customFormat="false" ht="15.75" hidden="false" customHeight="true" outlineLevel="0" collapsed="false">
      <c r="B8" s="32" t="s">
        <v>73</v>
      </c>
      <c r="C8" s="51" t="n">
        <f aca="false">Segment_Model!H17</f>
        <v>13.886896343859</v>
      </c>
      <c r="D8" s="52" t="n">
        <f aca="false">Assumptions!C40</f>
        <v>14</v>
      </c>
      <c r="E8" s="53" t="n">
        <f aca="false">C8*D8</f>
        <v>194.416548814026</v>
      </c>
      <c r="F8" s="54" t="n">
        <f aca="false">1/(1+Assumptions!C35)^5</f>
        <v>0.658949722711841</v>
      </c>
      <c r="G8" s="45" t="n">
        <f aca="false">E8*F8</f>
        <v>128.110730931595</v>
      </c>
    </row>
    <row r="9" customFormat="false" ht="15.75" hidden="false" customHeight="true" outlineLevel="0" collapsed="false">
      <c r="B9" s="32" t="s">
        <v>75</v>
      </c>
      <c r="C9" s="51" t="n">
        <f aca="false">Segment_Model!H24</f>
        <v>100.59384318984</v>
      </c>
      <c r="D9" s="52" t="n">
        <f aca="false">Assumptions!C38</f>
        <v>22</v>
      </c>
      <c r="E9" s="53" t="n">
        <f aca="false">C9*D9</f>
        <v>2213.06455017648</v>
      </c>
      <c r="F9" s="54" t="n">
        <f aca="false">1/(1+Assumptions!C35)^5</f>
        <v>0.658949722711841</v>
      </c>
      <c r="G9" s="45" t="n">
        <f aca="false">E9*F9</f>
        <v>1458.29827168219</v>
      </c>
    </row>
    <row r="10" customFormat="false" ht="15.75" hidden="false" customHeight="true" outlineLevel="0" collapsed="false">
      <c r="B10" s="48" t="s">
        <v>150</v>
      </c>
      <c r="C10" s="55"/>
      <c r="D10" s="55"/>
      <c r="E10" s="49" t="n">
        <f aca="false">SUM(E7:E9)</f>
        <v>3458.72513798951</v>
      </c>
      <c r="F10" s="55"/>
      <c r="G10" s="49" t="n">
        <f aca="false">SUM(G7:G9)</f>
        <v>2279.12597061466</v>
      </c>
    </row>
    <row r="11" customFormat="false" ht="15.75" hidden="false" customHeight="true" outlineLevel="0" collapsed="false">
      <c r="B11" s="15" t="s">
        <v>151</v>
      </c>
      <c r="C11" s="39"/>
      <c r="D11" s="39"/>
      <c r="E11" s="39"/>
      <c r="F11" s="39"/>
      <c r="G11" s="56" t="n">
        <f aca="false">G9/G10</f>
        <v>0.639849789122848</v>
      </c>
    </row>
    <row r="12" customFormat="false" ht="6" hidden="false" customHeight="true" outlineLevel="0" collapsed="false">
      <c r="B12" s="28"/>
      <c r="C12" s="28"/>
      <c r="D12" s="28"/>
      <c r="E12" s="28"/>
      <c r="F12" s="28"/>
      <c r="G12" s="28"/>
      <c r="H12" s="28"/>
    </row>
    <row r="13" customFormat="false" ht="19.5" hidden="false" customHeight="true" outlineLevel="0" collapsed="false">
      <c r="B13" s="29" t="s">
        <v>152</v>
      </c>
      <c r="C13" s="29"/>
      <c r="D13" s="29"/>
      <c r="E13" s="29"/>
      <c r="F13" s="29"/>
      <c r="G13" s="29"/>
      <c r="H13" s="29"/>
    </row>
    <row r="14" customFormat="false" ht="18" hidden="false" customHeight="true" outlineLevel="0" collapsed="false">
      <c r="B14" s="30" t="s">
        <v>153</v>
      </c>
      <c r="C14" s="31" t="s">
        <v>154</v>
      </c>
      <c r="D14" s="30" t="s">
        <v>70</v>
      </c>
      <c r="E14" s="30"/>
      <c r="F14" s="30"/>
      <c r="G14" s="30"/>
    </row>
    <row r="15" customFormat="false" ht="21.75" hidden="false" customHeight="true" outlineLevel="0" collapsed="false">
      <c r="B15" s="32" t="s">
        <v>155</v>
      </c>
      <c r="C15" s="53" t="n">
        <f aca="false">G10</f>
        <v>2279.12597061466</v>
      </c>
      <c r="D15" s="36" t="s">
        <v>156</v>
      </c>
      <c r="E15" s="36"/>
      <c r="F15" s="36"/>
      <c r="G15" s="36"/>
    </row>
    <row r="16" customFormat="false" ht="21.75" hidden="false" customHeight="true" outlineLevel="0" collapsed="false">
      <c r="B16" s="32" t="s">
        <v>157</v>
      </c>
      <c r="C16" s="53" t="n">
        <f aca="false">Assumptions!C41</f>
        <v>25</v>
      </c>
      <c r="D16" s="36" t="s">
        <v>158</v>
      </c>
      <c r="E16" s="36"/>
      <c r="F16" s="36"/>
      <c r="G16" s="36"/>
    </row>
    <row r="17" customFormat="false" ht="21.75" hidden="false" customHeight="true" outlineLevel="0" collapsed="false">
      <c r="B17" s="32" t="s">
        <v>159</v>
      </c>
      <c r="C17" s="33" t="n">
        <v>-150</v>
      </c>
      <c r="D17" s="36" t="s">
        <v>160</v>
      </c>
      <c r="E17" s="36"/>
      <c r="F17" s="36"/>
      <c r="G17" s="36"/>
    </row>
    <row r="18" customFormat="false" ht="21.75" hidden="false" customHeight="true" outlineLevel="0" collapsed="false">
      <c r="B18" s="48" t="s">
        <v>161</v>
      </c>
      <c r="C18" s="49" t="n">
        <f aca="false">C15+C16+C17</f>
        <v>2154.12597061466</v>
      </c>
      <c r="D18" s="36" t="s">
        <v>162</v>
      </c>
      <c r="E18" s="36"/>
      <c r="F18" s="36"/>
      <c r="G18" s="36"/>
    </row>
    <row r="19" customFormat="false" ht="21.75" hidden="false" customHeight="true" outlineLevel="0" collapsed="false">
      <c r="B19" s="32" t="s">
        <v>125</v>
      </c>
      <c r="C19" s="57" t="n">
        <f aca="false">Assumptions!C42</f>
        <v>10.76</v>
      </c>
      <c r="D19" s="36" t="s">
        <v>163</v>
      </c>
      <c r="E19" s="36"/>
      <c r="F19" s="36"/>
      <c r="G19" s="36"/>
    </row>
    <row r="20" customFormat="false" ht="21.75" hidden="false" customHeight="true" outlineLevel="0" collapsed="false">
      <c r="B20" s="58" t="s">
        <v>164</v>
      </c>
      <c r="C20" s="59" t="n">
        <f aca="false">C18/C19</f>
        <v>200.197580912143</v>
      </c>
      <c r="D20" s="36" t="s">
        <v>165</v>
      </c>
      <c r="E20" s="36"/>
      <c r="F20" s="36"/>
      <c r="G20" s="36"/>
    </row>
    <row r="21" customFormat="false" ht="21.75" hidden="false" customHeight="true" outlineLevel="0" collapsed="false">
      <c r="B21" s="32" t="s">
        <v>166</v>
      </c>
      <c r="C21" s="60" t="n">
        <f aca="false">Assumptions!C43</f>
        <v>235.5</v>
      </c>
      <c r="D21" s="36" t="s">
        <v>167</v>
      </c>
      <c r="E21" s="36"/>
      <c r="F21" s="36"/>
      <c r="G21" s="36"/>
    </row>
    <row r="22" customFormat="false" ht="21.75" hidden="false" customHeight="true" outlineLevel="0" collapsed="false">
      <c r="B22" s="48" t="s">
        <v>168</v>
      </c>
      <c r="C22" s="61" t="n">
        <f aca="false">C20/C21-1</f>
        <v>-0.149904115022747</v>
      </c>
      <c r="D22" s="36" t="s">
        <v>169</v>
      </c>
      <c r="E22" s="36"/>
      <c r="F22" s="36"/>
      <c r="G22" s="36"/>
    </row>
  </sheetData>
  <mergeCells count="13">
    <mergeCell ref="B2:H2"/>
    <mergeCell ref="B3:H3"/>
    <mergeCell ref="B5:H5"/>
    <mergeCell ref="B13:H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3" min="3" style="1" width="14"/>
    <col collapsed="false" customWidth="true" hidden="false" outlineLevel="0" max="4" min="4" style="1" width="48"/>
  </cols>
  <sheetData>
    <row r="2" customFormat="false" ht="18" hidden="false" customHeight="true" outlineLevel="0" collapsed="false">
      <c r="B2" s="26" t="s">
        <v>170</v>
      </c>
      <c r="C2" s="26"/>
      <c r="D2" s="26"/>
    </row>
    <row r="3" customFormat="false" ht="18" hidden="false" customHeight="true" outlineLevel="0" collapsed="false">
      <c r="B3" s="27" t="s">
        <v>171</v>
      </c>
      <c r="C3" s="27"/>
      <c r="D3" s="27"/>
    </row>
    <row r="4" customFormat="false" ht="6" hidden="false" customHeight="true" outlineLevel="0" collapsed="false">
      <c r="B4" s="28"/>
      <c r="C4" s="28"/>
      <c r="D4" s="28"/>
    </row>
    <row r="5" customFormat="false" ht="19.5" hidden="false" customHeight="true" outlineLevel="0" collapsed="false">
      <c r="B5" s="29" t="s">
        <v>172</v>
      </c>
      <c r="C5" s="29"/>
      <c r="D5" s="29"/>
    </row>
    <row r="6" customFormat="false" ht="18" hidden="false" customHeight="true" outlineLevel="0" collapsed="false">
      <c r="B6" s="30" t="s">
        <v>153</v>
      </c>
      <c r="C6" s="31" t="s">
        <v>105</v>
      </c>
      <c r="D6" s="30" t="s">
        <v>70</v>
      </c>
    </row>
    <row r="7" customFormat="false" ht="21.75" hidden="false" customHeight="true" outlineLevel="0" collapsed="false">
      <c r="B7" s="15" t="s">
        <v>173</v>
      </c>
      <c r="C7" s="35" t="n">
        <v>0.043</v>
      </c>
      <c r="D7" s="36" t="s">
        <v>174</v>
      </c>
    </row>
    <row r="8" customFormat="false" ht="21.75" hidden="false" customHeight="true" outlineLevel="0" collapsed="false">
      <c r="B8" s="15" t="s">
        <v>175</v>
      </c>
      <c r="C8" s="35" t="n">
        <v>0.045</v>
      </c>
      <c r="D8" s="36" t="s">
        <v>176</v>
      </c>
    </row>
    <row r="9" customFormat="false" ht="21.75" hidden="false" customHeight="true" outlineLevel="0" collapsed="false">
      <c r="B9" s="15" t="s">
        <v>177</v>
      </c>
      <c r="C9" s="62" t="n">
        <v>1.2</v>
      </c>
      <c r="D9" s="36" t="s">
        <v>178</v>
      </c>
    </row>
    <row r="10" customFormat="false" ht="21.75" hidden="false" customHeight="true" outlineLevel="0" collapsed="false">
      <c r="B10" s="15" t="s">
        <v>179</v>
      </c>
      <c r="C10" s="34" t="n">
        <f aca="false">C7+C9*C8</f>
        <v>0.097</v>
      </c>
      <c r="D10" s="36" t="s">
        <v>180</v>
      </c>
    </row>
    <row r="11" customFormat="false" ht="21.75" hidden="false" customHeight="true" outlineLevel="0" collapsed="false">
      <c r="B11" s="15" t="s">
        <v>181</v>
      </c>
      <c r="C11" s="35" t="n">
        <v>0.05</v>
      </c>
      <c r="D11" s="36" t="s">
        <v>182</v>
      </c>
    </row>
    <row r="12" customFormat="false" ht="21.75" hidden="false" customHeight="true" outlineLevel="0" collapsed="false">
      <c r="B12" s="15" t="s">
        <v>183</v>
      </c>
      <c r="C12" s="35" t="n">
        <v>0.16</v>
      </c>
      <c r="D12" s="36" t="s">
        <v>184</v>
      </c>
    </row>
    <row r="13" customFormat="false" ht="21.75" hidden="false" customHeight="true" outlineLevel="0" collapsed="false">
      <c r="B13" s="15" t="s">
        <v>185</v>
      </c>
      <c r="C13" s="34" t="n">
        <f aca="false">C11*(1-C12)</f>
        <v>0.042</v>
      </c>
      <c r="D13" s="36" t="s">
        <v>186</v>
      </c>
    </row>
    <row r="14" customFormat="false" ht="21.75" hidden="false" customHeight="true" outlineLevel="0" collapsed="false">
      <c r="B14" s="15" t="s">
        <v>187</v>
      </c>
      <c r="C14" s="35" t="n">
        <v>0.92</v>
      </c>
      <c r="D14" s="36" t="s">
        <v>188</v>
      </c>
    </row>
    <row r="15" customFormat="false" ht="21.75" hidden="false" customHeight="true" outlineLevel="0" collapsed="false">
      <c r="B15" s="15" t="s">
        <v>189</v>
      </c>
      <c r="C15" s="35" t="n">
        <v>0.08</v>
      </c>
      <c r="D15" s="36"/>
    </row>
    <row r="16" customFormat="false" ht="21.75" hidden="false" customHeight="true" outlineLevel="0" collapsed="false">
      <c r="B16" s="63" t="s">
        <v>190</v>
      </c>
      <c r="C16" s="64" t="n">
        <f aca="false">C14*C10+C15*C13</f>
        <v>0.0926</v>
      </c>
      <c r="D16" s="36" t="s">
        <v>191</v>
      </c>
    </row>
    <row r="17" customFormat="false" ht="18" hidden="false" customHeight="true" outlineLevel="0" collapsed="false">
      <c r="B17" s="65" t="s">
        <v>192</v>
      </c>
      <c r="C17" s="66" t="n">
        <f aca="false">Assumptions!C33</f>
        <v>0.09</v>
      </c>
      <c r="D17" s="36" t="s">
        <v>193</v>
      </c>
    </row>
    <row r="18" customFormat="false" ht="18" hidden="false" customHeight="true" outlineLevel="0" collapsed="false">
      <c r="B18" s="65" t="s">
        <v>194</v>
      </c>
      <c r="C18" s="66" t="n">
        <f aca="false">Assumptions!C34</f>
        <v>0.085</v>
      </c>
      <c r="D18" s="36" t="s">
        <v>195</v>
      </c>
      <c r="E18" s="67"/>
    </row>
    <row r="19" customFormat="false" ht="18" hidden="false" customHeight="true" outlineLevel="0" collapsed="false">
      <c r="B19" s="58" t="s">
        <v>196</v>
      </c>
      <c r="C19" s="68" t="n">
        <f aca="false">Assumptions!C35</f>
        <v>0.087</v>
      </c>
      <c r="D19" s="36" t="s">
        <v>197</v>
      </c>
    </row>
    <row r="21" customFormat="false" ht="21.75" hidden="false" customHeight="true" outlineLevel="0" collapsed="false">
      <c r="B21" s="69" t="s">
        <v>198</v>
      </c>
      <c r="C21" s="70"/>
      <c r="D21" s="71" t="s">
        <v>199</v>
      </c>
    </row>
    <row r="22" customFormat="false" ht="21.75" hidden="false" customHeight="true" outlineLevel="0" collapsed="false">
      <c r="B22" s="70"/>
      <c r="C22" s="70"/>
      <c r="D22" s="71"/>
    </row>
  </sheetData>
  <mergeCells count="4">
    <mergeCell ref="B2:D2"/>
    <mergeCell ref="B3:D3"/>
    <mergeCell ref="B5:D5"/>
    <mergeCell ref="D21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6"/>
    <col collapsed="false" customWidth="true" hidden="false" outlineLevel="0" max="9" min="3" style="1" width="13"/>
  </cols>
  <sheetData>
    <row r="2" customFormat="false" ht="18" hidden="false" customHeight="true" outlineLevel="0" collapsed="false">
      <c r="B2" s="26" t="s">
        <v>200</v>
      </c>
      <c r="C2" s="26"/>
      <c r="D2" s="26"/>
      <c r="E2" s="26"/>
      <c r="F2" s="26"/>
      <c r="G2" s="26"/>
      <c r="H2" s="26"/>
      <c r="I2" s="26"/>
    </row>
    <row r="3" customFormat="false" ht="18" hidden="false" customHeight="true" outlineLevel="0" collapsed="false">
      <c r="B3" s="27" t="s">
        <v>201</v>
      </c>
      <c r="C3" s="27"/>
      <c r="D3" s="27"/>
      <c r="E3" s="27"/>
      <c r="F3" s="27"/>
      <c r="G3" s="27"/>
      <c r="H3" s="27"/>
      <c r="I3" s="27"/>
    </row>
    <row r="4" customFormat="false" ht="6" hidden="false" customHeight="true" outlineLevel="0" collapsed="false">
      <c r="B4" s="28"/>
      <c r="C4" s="28"/>
      <c r="D4" s="28"/>
      <c r="E4" s="28"/>
      <c r="F4" s="28"/>
      <c r="G4" s="28"/>
      <c r="H4" s="28"/>
      <c r="I4" s="28"/>
    </row>
    <row r="5" customFormat="false" ht="19.5" hidden="false" customHeight="true" outlineLevel="0" collapsed="false">
      <c r="B5" s="29" t="s">
        <v>202</v>
      </c>
      <c r="C5" s="29"/>
      <c r="D5" s="29"/>
      <c r="E5" s="29"/>
      <c r="F5" s="29"/>
      <c r="G5" s="29"/>
      <c r="H5" s="29"/>
      <c r="I5" s="29"/>
    </row>
    <row r="6" customFormat="false" ht="18" hidden="false" customHeight="true" outlineLevel="0" collapsed="false">
      <c r="B6" s="30" t="s">
        <v>132</v>
      </c>
      <c r="C6" s="31" t="s">
        <v>133</v>
      </c>
      <c r="D6" s="31" t="s">
        <v>80</v>
      </c>
      <c r="E6" s="31" t="s">
        <v>81</v>
      </c>
      <c r="F6" s="31" t="s">
        <v>82</v>
      </c>
      <c r="G6" s="31" t="s">
        <v>83</v>
      </c>
      <c r="H6" s="31" t="s">
        <v>84</v>
      </c>
      <c r="I6" s="31"/>
    </row>
    <row r="7" customFormat="false" ht="15.75" hidden="false" customHeight="true" outlineLevel="0" collapsed="false">
      <c r="B7" s="43" t="s">
        <v>18</v>
      </c>
      <c r="C7" s="44" t="n">
        <v>80</v>
      </c>
      <c r="D7" s="44" t="n">
        <f aca="false">Segment_Model!D30</f>
        <v>95.19384</v>
      </c>
      <c r="E7" s="44" t="n">
        <f aca="false">Segment_Model!E30</f>
        <v>112.3786848</v>
      </c>
      <c r="F7" s="44" t="n">
        <f aca="false">Segment_Model!F30</f>
        <v>131.88638025</v>
      </c>
      <c r="G7" s="44" t="n">
        <f aca="false">Segment_Model!G30</f>
        <v>152.66217552285</v>
      </c>
      <c r="H7" s="44" t="n">
        <f aca="false">Segment_Model!H30</f>
        <v>172.883186144755</v>
      </c>
    </row>
    <row r="8" customFormat="false" ht="15.75" hidden="false" customHeight="true" outlineLevel="0" collapsed="false">
      <c r="B8" s="15" t="s">
        <v>203</v>
      </c>
      <c r="C8" s="53" t="n">
        <v>-12.8</v>
      </c>
      <c r="D8" s="53" t="n">
        <f aca="false">-D7*Assumptions!C29</f>
        <v>-15.2310144</v>
      </c>
      <c r="E8" s="53" t="n">
        <f aca="false">-E7*Assumptions!D29</f>
        <v>-17.980589568</v>
      </c>
      <c r="F8" s="53" t="n">
        <f aca="false">-F7*Assumptions!E29</f>
        <v>-21.10182084</v>
      </c>
      <c r="G8" s="53" t="n">
        <f aca="false">-G7*Assumptions!F29</f>
        <v>-24.425948083656</v>
      </c>
      <c r="H8" s="53" t="n">
        <f aca="false">-H7*Assumptions!G29</f>
        <v>-27.6613097831608</v>
      </c>
    </row>
    <row r="9" customFormat="false" ht="15.75" hidden="false" customHeight="true" outlineLevel="0" collapsed="false">
      <c r="B9" s="43" t="s">
        <v>204</v>
      </c>
      <c r="C9" s="45" t="n">
        <f aca="false">C7+C8</f>
        <v>67.2</v>
      </c>
      <c r="D9" s="45" t="n">
        <f aca="false">D7+D8</f>
        <v>79.9628256</v>
      </c>
      <c r="E9" s="45" t="n">
        <f aca="false">E7+E8</f>
        <v>94.398095232</v>
      </c>
      <c r="F9" s="45" t="n">
        <f aca="false">F7+F8</f>
        <v>110.78455941</v>
      </c>
      <c r="G9" s="45" t="n">
        <f aca="false">G7+G8</f>
        <v>128.236227439194</v>
      </c>
      <c r="H9" s="45" t="n">
        <f aca="false">H7+H8</f>
        <v>145.221876361594</v>
      </c>
    </row>
    <row r="10" customFormat="false" ht="15.75" hidden="false" customHeight="true" outlineLevel="0" collapsed="false">
      <c r="B10" s="15" t="s">
        <v>205</v>
      </c>
      <c r="C10" s="53" t="n">
        <v>52</v>
      </c>
      <c r="D10" s="72" t="n">
        <f aca="false">Assumptions!C27</f>
        <v>70</v>
      </c>
      <c r="E10" s="72" t="n">
        <f aca="false">Assumptions!D27</f>
        <v>88</v>
      </c>
      <c r="F10" s="72" t="n">
        <f aca="false">Assumptions!E27</f>
        <v>105</v>
      </c>
      <c r="G10" s="72" t="n">
        <f aca="false">Assumptions!F27</f>
        <v>118</v>
      </c>
      <c r="H10" s="72" t="n">
        <f aca="false">Assumptions!G27</f>
        <v>128</v>
      </c>
    </row>
    <row r="11" customFormat="false" ht="15.75" hidden="false" customHeight="true" outlineLevel="0" collapsed="false">
      <c r="B11" s="15" t="s">
        <v>206</v>
      </c>
      <c r="C11" s="73" t="n">
        <v>-128.3</v>
      </c>
      <c r="D11" s="73" t="n">
        <f aca="false">-Assumptions!C26</f>
        <v>-200</v>
      </c>
      <c r="E11" s="73" t="n">
        <f aca="false">-Assumptions!D26</f>
        <v>-205</v>
      </c>
      <c r="F11" s="73" t="n">
        <f aca="false">-Assumptions!E26</f>
        <v>-195</v>
      </c>
      <c r="G11" s="73" t="n">
        <f aca="false">-Assumptions!F26</f>
        <v>-175</v>
      </c>
      <c r="H11" s="73" t="n">
        <f aca="false">-Assumptions!G26</f>
        <v>-165</v>
      </c>
    </row>
    <row r="12" customFormat="false" ht="15.75" hidden="false" customHeight="true" outlineLevel="0" collapsed="false">
      <c r="B12" s="15" t="s">
        <v>207</v>
      </c>
      <c r="C12" s="53" t="n">
        <v>7.5</v>
      </c>
      <c r="D12" s="72" t="n">
        <f aca="false">Assumptions!C28</f>
        <v>8</v>
      </c>
      <c r="E12" s="72" t="n">
        <f aca="false">Assumptions!D28</f>
        <v>7</v>
      </c>
      <c r="F12" s="72" t="n">
        <f aca="false">Assumptions!E28</f>
        <v>7</v>
      </c>
      <c r="G12" s="72" t="n">
        <f aca="false">Assumptions!F28</f>
        <v>6</v>
      </c>
      <c r="H12" s="72" t="n">
        <f aca="false">Assumptions!G28</f>
        <v>6</v>
      </c>
    </row>
    <row r="13" customFormat="false" ht="15.75" hidden="false" customHeight="true" outlineLevel="0" collapsed="false">
      <c r="B13" s="48" t="s">
        <v>208</v>
      </c>
      <c r="C13" s="74" t="n">
        <v>11.2</v>
      </c>
      <c r="D13" s="74" t="n">
        <f aca="false">D9+D10+D11+D12</f>
        <v>-42.0371744</v>
      </c>
      <c r="E13" s="74" t="n">
        <f aca="false">E9+E10+E11+E12</f>
        <v>-15.601904768</v>
      </c>
      <c r="F13" s="74" t="n">
        <f aca="false">F9+F10+F11+F12</f>
        <v>27.78455941</v>
      </c>
      <c r="G13" s="74" t="n">
        <f aca="false">G9+G10+G11+G12</f>
        <v>77.236227439194</v>
      </c>
      <c r="H13" s="74" t="n">
        <f aca="false">H9+H10+H11+H12</f>
        <v>114.221876361594</v>
      </c>
    </row>
    <row r="14" customFormat="false" ht="15.75" hidden="false" customHeight="true" outlineLevel="0" collapsed="false">
      <c r="B14" s="75" t="s">
        <v>209</v>
      </c>
      <c r="C14" s="76" t="n">
        <v>0.016</v>
      </c>
      <c r="D14" s="76" t="n">
        <f aca="false">D13/Segment_Model!D28</f>
        <v>-0.0526243520410207</v>
      </c>
      <c r="E14" s="76" t="n">
        <f aca="false">E13/Segment_Model!E28</f>
        <v>-0.0176631230480528</v>
      </c>
      <c r="F14" s="76" t="n">
        <f aca="false">F13/Segment_Model!F28</f>
        <v>0.0286445758483437</v>
      </c>
      <c r="G14" s="76" t="n">
        <f aca="false">G13/Segment_Model!G28</f>
        <v>0.0729808014460128</v>
      </c>
      <c r="H14" s="76" t="n">
        <f aca="false">H13/Segment_Model!H28</f>
        <v>0.099611033335097</v>
      </c>
    </row>
    <row r="15" customFormat="false" ht="15.75" hidden="false" customHeight="true" outlineLevel="0" collapsed="false">
      <c r="B15" s="15" t="s">
        <v>210</v>
      </c>
      <c r="C15" s="34" t="n">
        <v>0.179</v>
      </c>
      <c r="D15" s="34" t="n">
        <f aca="false">-D11/Segment_Model!D28</f>
        <v>0.250370548411649</v>
      </c>
      <c r="E15" s="34" t="n">
        <f aca="false">-E11/Segment_Model!E28</f>
        <v>0.232083215395436</v>
      </c>
      <c r="F15" s="34" t="n">
        <f aca="false">-F11/Segment_Model!F28</f>
        <v>0.201035841814236</v>
      </c>
      <c r="G15" s="34" t="n">
        <f aca="false">-G11/Segment_Model!G28</f>
        <v>0.165358157389381</v>
      </c>
      <c r="H15" s="34" t="n">
        <f aca="false">-H11/Segment_Model!H28</f>
        <v>0.143893805843811</v>
      </c>
    </row>
    <row r="16" customFormat="false" ht="6" hidden="false" customHeight="true" outlineLevel="0" collapsed="false">
      <c r="B16" s="28"/>
      <c r="C16" s="28"/>
      <c r="D16" s="28"/>
      <c r="E16" s="28"/>
      <c r="F16" s="28"/>
      <c r="G16" s="28"/>
      <c r="H16" s="28"/>
      <c r="I16" s="28"/>
    </row>
    <row r="17" customFormat="false" ht="19.5" hidden="false" customHeight="true" outlineLevel="0" collapsed="false">
      <c r="B17" s="29" t="s">
        <v>211</v>
      </c>
      <c r="C17" s="29"/>
      <c r="D17" s="29"/>
      <c r="E17" s="29"/>
      <c r="F17" s="29"/>
      <c r="G17" s="29"/>
      <c r="H17" s="29"/>
      <c r="I17" s="29"/>
    </row>
    <row r="18" customFormat="false" ht="19.5" hidden="false" customHeight="true" outlineLevel="0" collapsed="false">
      <c r="B18" s="77" t="s">
        <v>212</v>
      </c>
      <c r="C18" s="77"/>
      <c r="D18" s="77"/>
      <c r="E18" s="77"/>
      <c r="F18" s="77"/>
      <c r="G18" s="77"/>
      <c r="H18" s="77"/>
      <c r="I18" s="77"/>
    </row>
    <row r="19" customFormat="false" ht="19.5" hidden="false" customHeight="true" outlineLevel="0" collapsed="false">
      <c r="B19" s="77" t="s">
        <v>213</v>
      </c>
      <c r="C19" s="77"/>
      <c r="D19" s="77"/>
      <c r="E19" s="77"/>
      <c r="F19" s="77"/>
      <c r="G19" s="77"/>
      <c r="H19" s="77"/>
      <c r="I19" s="77"/>
    </row>
    <row r="20" customFormat="false" ht="19.5" hidden="false" customHeight="true" outlineLevel="0" collapsed="false">
      <c r="B20" s="77" t="s">
        <v>214</v>
      </c>
      <c r="C20" s="77"/>
      <c r="D20" s="77"/>
      <c r="E20" s="77"/>
      <c r="F20" s="77"/>
      <c r="G20" s="77"/>
      <c r="H20" s="77"/>
      <c r="I20" s="77"/>
    </row>
    <row r="21" customFormat="false" ht="19.5" hidden="false" customHeight="true" outlineLevel="0" collapsed="false">
      <c r="B21" s="77" t="s">
        <v>215</v>
      </c>
      <c r="C21" s="77"/>
      <c r="D21" s="77"/>
      <c r="E21" s="77"/>
      <c r="F21" s="77"/>
      <c r="G21" s="77"/>
      <c r="H21" s="77"/>
      <c r="I21" s="77"/>
    </row>
    <row r="22" customFormat="false" ht="19.5" hidden="false" customHeight="true" outlineLevel="0" collapsed="false">
      <c r="B22" s="77" t="s">
        <v>216</v>
      </c>
      <c r="C22" s="77"/>
      <c r="D22" s="77"/>
      <c r="E22" s="77"/>
      <c r="F22" s="77"/>
      <c r="G22" s="77"/>
      <c r="H22" s="77"/>
      <c r="I22" s="77"/>
    </row>
  </sheetData>
  <mergeCells count="9">
    <mergeCell ref="B2:I2"/>
    <mergeCell ref="B3:I3"/>
    <mergeCell ref="B5:I5"/>
    <mergeCell ref="B17:I17"/>
    <mergeCell ref="B18:I18"/>
    <mergeCell ref="B19:I19"/>
    <mergeCell ref="B20:I20"/>
    <mergeCell ref="B21:I21"/>
    <mergeCell ref="B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6"/>
    <col collapsed="false" customWidth="true" hidden="false" outlineLevel="0" max="9" min="3" style="1" width="13"/>
  </cols>
  <sheetData>
    <row r="2" customFormat="false" ht="18" hidden="false" customHeight="true" outlineLevel="0" collapsed="false">
      <c r="B2" s="26" t="s">
        <v>217</v>
      </c>
      <c r="C2" s="26"/>
      <c r="D2" s="26"/>
      <c r="E2" s="26"/>
      <c r="F2" s="26"/>
      <c r="G2" s="26"/>
      <c r="H2" s="26"/>
      <c r="I2" s="26"/>
    </row>
    <row r="3" customFormat="false" ht="18" hidden="false" customHeight="true" outlineLevel="0" collapsed="false">
      <c r="B3" s="27" t="s">
        <v>218</v>
      </c>
      <c r="C3" s="27"/>
      <c r="D3" s="27"/>
      <c r="E3" s="27"/>
      <c r="F3" s="27"/>
      <c r="G3" s="27"/>
      <c r="H3" s="27"/>
      <c r="I3" s="27"/>
    </row>
    <row r="4" customFormat="false" ht="6" hidden="false" customHeight="true" outlineLevel="0" collapsed="false">
      <c r="B4" s="28"/>
      <c r="C4" s="28"/>
      <c r="D4" s="28"/>
      <c r="E4" s="28"/>
      <c r="F4" s="28"/>
      <c r="G4" s="28"/>
      <c r="H4" s="28"/>
      <c r="I4" s="28"/>
    </row>
    <row r="5" customFormat="false" ht="19.5" hidden="false" customHeight="true" outlineLevel="0" collapsed="false">
      <c r="B5" s="29" t="s">
        <v>219</v>
      </c>
      <c r="C5" s="29"/>
      <c r="D5" s="29"/>
      <c r="E5" s="29"/>
      <c r="F5" s="29"/>
      <c r="G5" s="29"/>
      <c r="H5" s="29"/>
      <c r="I5" s="29"/>
    </row>
    <row r="6" customFormat="false" ht="18" hidden="false" customHeight="true" outlineLevel="0" collapsed="false">
      <c r="B6" s="30" t="s">
        <v>132</v>
      </c>
      <c r="C6" s="31" t="s">
        <v>80</v>
      </c>
      <c r="D6" s="31" t="s">
        <v>81</v>
      </c>
      <c r="E6" s="31" t="s">
        <v>82</v>
      </c>
      <c r="F6" s="31" t="s">
        <v>83</v>
      </c>
      <c r="G6" s="31" t="s">
        <v>84</v>
      </c>
      <c r="H6" s="31"/>
    </row>
    <row r="7" customFormat="false" ht="15.75" hidden="false" customHeight="true" outlineLevel="0" collapsed="false">
      <c r="B7" s="43" t="s">
        <v>220</v>
      </c>
      <c r="C7" s="44" t="n">
        <f aca="false">Capex_FCF!D13</f>
        <v>-42.0371744</v>
      </c>
      <c r="D7" s="44" t="n">
        <f aca="false">Capex_FCF!E13</f>
        <v>-15.601904768</v>
      </c>
      <c r="E7" s="44" t="n">
        <f aca="false">Capex_FCF!F13</f>
        <v>27.78455941</v>
      </c>
      <c r="F7" s="44" t="n">
        <f aca="false">Capex_FCF!G13</f>
        <v>77.236227439194</v>
      </c>
      <c r="G7" s="44" t="n">
        <f aca="false">Capex_FCF!H13</f>
        <v>114.221876361594</v>
      </c>
    </row>
    <row r="8" customFormat="false" ht="15.75" hidden="false" customHeight="true" outlineLevel="0" collapsed="false">
      <c r="B8" s="15" t="s">
        <v>221</v>
      </c>
      <c r="C8" s="78" t="n">
        <f aca="false">1/(1+Assumptions!C35)^1</f>
        <v>0.919963201471941</v>
      </c>
      <c r="D8" s="78" t="n">
        <f aca="false">1/(1+Assumptions!C35)^2</f>
        <v>0.846332292062503</v>
      </c>
      <c r="E8" s="78" t="n">
        <f aca="false">1/(1+Assumptions!C35)^3</f>
        <v>0.778594564914907</v>
      </c>
      <c r="F8" s="78" t="n">
        <f aca="false">1/(1+Assumptions!C35)^4</f>
        <v>0.716278348587771</v>
      </c>
      <c r="G8" s="78" t="n">
        <f aca="false">1/(1+Assumptions!C35)^5</f>
        <v>0.658949722711841</v>
      </c>
    </row>
    <row r="9" customFormat="false" ht="15.75" hidden="false" customHeight="true" outlineLevel="0" collapsed="false">
      <c r="B9" s="79" t="s">
        <v>222</v>
      </c>
      <c r="C9" s="80" t="n">
        <f aca="false">C7*C8</f>
        <v>-38.6726535418583</v>
      </c>
      <c r="D9" s="80" t="n">
        <f aca="false">D7*D8</f>
        <v>-13.2043958228423</v>
      </c>
      <c r="E9" s="80" t="n">
        <f aca="false">E7*E8</f>
        <v>21.6329069451813</v>
      </c>
      <c r="F9" s="80" t="n">
        <f aca="false">F7*F8</f>
        <v>55.3226374412953</v>
      </c>
      <c r="G9" s="80" t="n">
        <f aca="false">G7*G8</f>
        <v>75.2664737560984</v>
      </c>
    </row>
    <row r="10" customFormat="false" ht="6" hidden="false" customHeight="true" outlineLevel="0" collapsed="false">
      <c r="B10" s="28"/>
      <c r="C10" s="28"/>
      <c r="D10" s="28"/>
      <c r="E10" s="28"/>
      <c r="F10" s="28"/>
      <c r="G10" s="28"/>
      <c r="H10" s="28"/>
      <c r="I10" s="28"/>
    </row>
    <row r="11" customFormat="false" ht="19.5" hidden="false" customHeight="true" outlineLevel="0" collapsed="false">
      <c r="B11" s="29" t="s">
        <v>223</v>
      </c>
      <c r="C11" s="29"/>
      <c r="D11" s="29"/>
      <c r="E11" s="29"/>
      <c r="F11" s="29"/>
      <c r="G11" s="29"/>
      <c r="H11" s="29"/>
      <c r="I11" s="29"/>
    </row>
    <row r="12" customFormat="false" ht="18" hidden="false" customHeight="true" outlineLevel="0" collapsed="false">
      <c r="B12" s="30" t="s">
        <v>153</v>
      </c>
      <c r="C12" s="31" t="s">
        <v>105</v>
      </c>
      <c r="D12" s="30" t="s">
        <v>70</v>
      </c>
      <c r="E12" s="30"/>
      <c r="F12" s="30"/>
      <c r="G12" s="30"/>
      <c r="H12" s="30"/>
    </row>
    <row r="13" customFormat="false" ht="21.75" hidden="false" customHeight="true" outlineLevel="0" collapsed="false">
      <c r="B13" s="32" t="s">
        <v>224</v>
      </c>
      <c r="C13" s="53" t="n">
        <f aca="false">SUM(C9:G9)</f>
        <v>100.344968777874</v>
      </c>
      <c r="D13" s="36" t="s">
        <v>225</v>
      </c>
      <c r="E13" s="36"/>
      <c r="F13" s="36"/>
      <c r="G13" s="36"/>
      <c r="H13" s="36"/>
    </row>
    <row r="14" customFormat="false" ht="21.75" hidden="false" customHeight="true" outlineLevel="0" collapsed="false">
      <c r="B14" s="32" t="s">
        <v>226</v>
      </c>
      <c r="C14" s="53" t="n">
        <f aca="false">G7</f>
        <v>114.221876361594</v>
      </c>
      <c r="D14" s="36" t="s">
        <v>227</v>
      </c>
      <c r="E14" s="36"/>
      <c r="F14" s="36"/>
      <c r="G14" s="36"/>
      <c r="H14" s="36"/>
    </row>
    <row r="15" customFormat="false" ht="21.75" hidden="false" customHeight="true" outlineLevel="0" collapsed="false">
      <c r="B15" s="32" t="s">
        <v>228</v>
      </c>
      <c r="C15" s="35" t="n">
        <v>0.035</v>
      </c>
      <c r="D15" s="36" t="s">
        <v>229</v>
      </c>
      <c r="E15" s="36"/>
      <c r="F15" s="36"/>
      <c r="G15" s="36"/>
      <c r="H15" s="36"/>
    </row>
    <row r="16" customFormat="false" ht="21.75" hidden="false" customHeight="true" outlineLevel="0" collapsed="false">
      <c r="B16" s="32" t="s">
        <v>57</v>
      </c>
      <c r="C16" s="34" t="n">
        <f aca="false">Assumptions!C35</f>
        <v>0.087</v>
      </c>
      <c r="D16" s="36" t="s">
        <v>77</v>
      </c>
      <c r="E16" s="36"/>
      <c r="F16" s="36"/>
      <c r="G16" s="36"/>
      <c r="H16" s="36"/>
    </row>
    <row r="17" customFormat="false" ht="21.75" hidden="false" customHeight="true" outlineLevel="0" collapsed="false">
      <c r="B17" s="32" t="s">
        <v>230</v>
      </c>
      <c r="C17" s="53" t="n">
        <f aca="false">C13*(1+C15)/(C16-C15)</f>
        <v>1997.25082086731</v>
      </c>
      <c r="D17" s="36" t="s">
        <v>231</v>
      </c>
      <c r="E17" s="36"/>
      <c r="F17" s="36"/>
      <c r="G17" s="36"/>
      <c r="H17" s="36"/>
    </row>
    <row r="18" customFormat="false" ht="21.75" hidden="false" customHeight="true" outlineLevel="0" collapsed="false">
      <c r="B18" s="32" t="s">
        <v>232</v>
      </c>
      <c r="C18" s="53" t="n">
        <f aca="false">C17/(1+C16)^5</f>
        <v>1316.08787459651</v>
      </c>
      <c r="D18" s="36" t="s">
        <v>233</v>
      </c>
      <c r="E18" s="36"/>
      <c r="F18" s="36"/>
      <c r="G18" s="36"/>
      <c r="H18" s="36"/>
    </row>
    <row r="19" customFormat="false" ht="21.75" hidden="false" customHeight="true" outlineLevel="0" collapsed="false">
      <c r="B19" s="48" t="s">
        <v>234</v>
      </c>
      <c r="C19" s="49" t="n">
        <f aca="false">C13+C18</f>
        <v>1416.43284337438</v>
      </c>
      <c r="D19" s="36" t="s">
        <v>235</v>
      </c>
      <c r="E19" s="36"/>
      <c r="F19" s="36"/>
      <c r="G19" s="36"/>
      <c r="H19" s="36"/>
    </row>
    <row r="20" customFormat="false" ht="21.75" hidden="false" customHeight="true" outlineLevel="0" collapsed="false">
      <c r="B20" s="32" t="s">
        <v>236</v>
      </c>
      <c r="C20" s="53" t="n">
        <f aca="false">Assumptions!C41</f>
        <v>25</v>
      </c>
      <c r="D20" s="36" t="s">
        <v>237</v>
      </c>
      <c r="E20" s="36"/>
      <c r="F20" s="36"/>
      <c r="G20" s="36"/>
      <c r="H20" s="36"/>
    </row>
    <row r="21" customFormat="false" ht="21.75" hidden="false" customHeight="true" outlineLevel="0" collapsed="false">
      <c r="B21" s="48" t="s">
        <v>161</v>
      </c>
      <c r="C21" s="49" t="n">
        <f aca="false">C19+C20</f>
        <v>1441.43284337438</v>
      </c>
      <c r="D21" s="36"/>
      <c r="E21" s="36"/>
      <c r="F21" s="36"/>
      <c r="G21" s="36"/>
      <c r="H21" s="36"/>
    </row>
    <row r="22" customFormat="false" ht="21.75" hidden="false" customHeight="true" outlineLevel="0" collapsed="false">
      <c r="B22" s="32" t="s">
        <v>238</v>
      </c>
      <c r="C22" s="57" t="n">
        <f aca="false">Assumptions!C42</f>
        <v>10.76</v>
      </c>
      <c r="D22" s="36"/>
      <c r="E22" s="36"/>
      <c r="F22" s="36"/>
      <c r="G22" s="36"/>
      <c r="H22" s="36"/>
    </row>
    <row r="23" customFormat="false" ht="21.75" hidden="false" customHeight="true" outlineLevel="0" collapsed="false">
      <c r="B23" s="58" t="s">
        <v>239</v>
      </c>
      <c r="C23" s="59" t="n">
        <f aca="false">C21/C22</f>
        <v>133.962160164905</v>
      </c>
      <c r="D23" s="36" t="s">
        <v>240</v>
      </c>
      <c r="E23" s="36"/>
      <c r="F23" s="36"/>
      <c r="G23" s="36"/>
      <c r="H23" s="36"/>
    </row>
    <row r="24" customFormat="false" ht="21.75" hidden="false" customHeight="true" outlineLevel="0" collapsed="false">
      <c r="B24" s="15" t="s">
        <v>241</v>
      </c>
      <c r="C24" s="81" t="n">
        <f aca="false">C23/SOTP!C20-1</f>
        <v>-0.330850255260103</v>
      </c>
      <c r="D24" s="36" t="s">
        <v>242</v>
      </c>
      <c r="E24" s="36"/>
      <c r="F24" s="36"/>
      <c r="G24" s="36"/>
      <c r="H24" s="36"/>
    </row>
  </sheetData>
  <mergeCells count="17">
    <mergeCell ref="B2:I2"/>
    <mergeCell ref="B3:I3"/>
    <mergeCell ref="B5:I5"/>
    <mergeCell ref="B11:I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6"/>
    <col collapsed="false" customWidth="true" hidden="false" outlineLevel="0" max="5" min="3" style="1" width="17"/>
    <col collapsed="false" customWidth="true" hidden="false" outlineLevel="0" max="6" min="6" style="1" width="40"/>
  </cols>
  <sheetData>
    <row r="2" customFormat="false" ht="18" hidden="false" customHeight="true" outlineLevel="0" collapsed="false">
      <c r="B2" s="26" t="s">
        <v>243</v>
      </c>
      <c r="C2" s="26"/>
      <c r="D2" s="26"/>
      <c r="E2" s="26"/>
      <c r="F2" s="26"/>
    </row>
    <row r="3" customFormat="false" ht="18" hidden="false" customHeight="true" outlineLevel="0" collapsed="false">
      <c r="B3" s="27" t="s">
        <v>244</v>
      </c>
      <c r="C3" s="27"/>
      <c r="D3" s="27"/>
      <c r="E3" s="27"/>
      <c r="F3" s="27"/>
    </row>
    <row r="4" customFormat="false" ht="6" hidden="false" customHeight="true" outlineLevel="0" collapsed="false">
      <c r="B4" s="28"/>
      <c r="C4" s="28"/>
      <c r="D4" s="28"/>
      <c r="E4" s="28"/>
      <c r="F4" s="28"/>
    </row>
    <row r="5" customFormat="false" ht="18" hidden="false" customHeight="true" outlineLevel="0" collapsed="false">
      <c r="B5" s="30" t="s">
        <v>94</v>
      </c>
      <c r="C5" s="82" t="s">
        <v>245</v>
      </c>
      <c r="D5" s="83" t="s">
        <v>246</v>
      </c>
      <c r="E5" s="84" t="s">
        <v>247</v>
      </c>
      <c r="F5" s="30" t="s">
        <v>248</v>
      </c>
    </row>
    <row r="6" customFormat="false" ht="21.75" hidden="false" customHeight="true" outlineLevel="0" collapsed="false">
      <c r="B6" s="15" t="s">
        <v>249</v>
      </c>
      <c r="C6" s="85" t="s">
        <v>250</v>
      </c>
      <c r="D6" s="86" t="s">
        <v>251</v>
      </c>
      <c r="E6" s="87" t="s">
        <v>252</v>
      </c>
      <c r="F6" s="36" t="s">
        <v>253</v>
      </c>
    </row>
    <row r="7" customFormat="false" ht="21.75" hidden="false" customHeight="true" outlineLevel="0" collapsed="false">
      <c r="B7" s="15" t="s">
        <v>254</v>
      </c>
      <c r="C7" s="85" t="s">
        <v>255</v>
      </c>
      <c r="D7" s="86" t="s">
        <v>256</v>
      </c>
      <c r="E7" s="87" t="s">
        <v>257</v>
      </c>
      <c r="F7" s="36" t="s">
        <v>258</v>
      </c>
    </row>
    <row r="8" customFormat="false" ht="21.75" hidden="false" customHeight="true" outlineLevel="0" collapsed="false">
      <c r="B8" s="15" t="s">
        <v>259</v>
      </c>
      <c r="C8" s="85" t="s">
        <v>260</v>
      </c>
      <c r="D8" s="86" t="s">
        <v>261</v>
      </c>
      <c r="E8" s="87" t="s">
        <v>250</v>
      </c>
      <c r="F8" s="36" t="s">
        <v>262</v>
      </c>
    </row>
    <row r="9" customFormat="false" ht="21.75" hidden="false" customHeight="true" outlineLevel="0" collapsed="false">
      <c r="B9" s="15" t="s">
        <v>263</v>
      </c>
      <c r="C9" s="85" t="s">
        <v>264</v>
      </c>
      <c r="D9" s="86" t="s">
        <v>265</v>
      </c>
      <c r="E9" s="87" t="s">
        <v>266</v>
      </c>
      <c r="F9" s="36" t="s">
        <v>267</v>
      </c>
    </row>
    <row r="10" customFormat="false" ht="21.75" hidden="false" customHeight="true" outlineLevel="0" collapsed="false">
      <c r="B10" s="15" t="s">
        <v>268</v>
      </c>
      <c r="C10" s="85" t="s">
        <v>269</v>
      </c>
      <c r="D10" s="86" t="s">
        <v>270</v>
      </c>
      <c r="E10" s="87" t="s">
        <v>271</v>
      </c>
      <c r="F10" s="36" t="s">
        <v>272</v>
      </c>
    </row>
    <row r="11" customFormat="false" ht="21.75" hidden="false" customHeight="true" outlineLevel="0" collapsed="false">
      <c r="B11" s="15" t="s">
        <v>273</v>
      </c>
      <c r="C11" s="85" t="s">
        <v>261</v>
      </c>
      <c r="D11" s="86" t="s">
        <v>274</v>
      </c>
      <c r="E11" s="87" t="s">
        <v>275</v>
      </c>
      <c r="F11" s="36" t="s">
        <v>276</v>
      </c>
    </row>
    <row r="12" customFormat="false" ht="6" hidden="false" customHeight="true" outlineLevel="0" collapsed="false">
      <c r="B12" s="28"/>
      <c r="C12" s="28"/>
      <c r="D12" s="28"/>
      <c r="E12" s="28"/>
      <c r="F12" s="28"/>
    </row>
    <row r="13" customFormat="false" ht="19.5" hidden="false" customHeight="true" outlineLevel="0" collapsed="false">
      <c r="B13" s="29" t="s">
        <v>277</v>
      </c>
      <c r="C13" s="29"/>
      <c r="D13" s="29"/>
      <c r="E13" s="29"/>
      <c r="F13" s="29"/>
    </row>
    <row r="14" customFormat="false" ht="18" hidden="false" customHeight="true" outlineLevel="0" collapsed="false">
      <c r="B14" s="30" t="s">
        <v>278</v>
      </c>
      <c r="C14" s="82" t="s">
        <v>245</v>
      </c>
      <c r="D14" s="83" t="s">
        <v>246</v>
      </c>
      <c r="E14" s="84" t="s">
        <v>247</v>
      </c>
      <c r="F14" s="31"/>
    </row>
    <row r="15" customFormat="false" ht="15.75" hidden="false" customHeight="true" outlineLevel="0" collapsed="false">
      <c r="B15" s="24" t="s">
        <v>279</v>
      </c>
      <c r="C15" s="88" t="n">
        <v>168</v>
      </c>
      <c r="D15" s="89" t="n">
        <f aca="false">SOTP!C20</f>
        <v>200.197580912143</v>
      </c>
      <c r="E15" s="90" t="n">
        <v>392</v>
      </c>
    </row>
    <row r="16" customFormat="false" ht="15.75" hidden="false" customHeight="true" outlineLevel="0" collapsed="false">
      <c r="B16" s="15" t="s">
        <v>280</v>
      </c>
      <c r="C16" s="81" t="n">
        <f aca="false">C15/235.5-1</f>
        <v>-0.286624203821656</v>
      </c>
      <c r="D16" s="81" t="n">
        <f aca="false">D15/235.5-1</f>
        <v>-0.149904115022747</v>
      </c>
      <c r="E16" s="81" t="n">
        <f aca="false">E15/235.5-1</f>
        <v>0.664543524416136</v>
      </c>
    </row>
    <row r="17" customFormat="false" ht="15.75" hidden="false" customHeight="true" outlineLevel="0" collapsed="false">
      <c r="B17" s="15" t="s">
        <v>281</v>
      </c>
      <c r="C17" s="91" t="n">
        <v>0.3</v>
      </c>
      <c r="D17" s="92" t="n">
        <v>0.45</v>
      </c>
      <c r="E17" s="93" t="n">
        <v>0.25</v>
      </c>
    </row>
    <row r="18" customFormat="false" ht="15.75" hidden="false" customHeight="true" outlineLevel="0" collapsed="false">
      <c r="B18" s="58" t="s">
        <v>282</v>
      </c>
      <c r="C18" s="59" t="n">
        <f aca="false">C15*C17+D15*D17+E15*E17</f>
        <v>238.488911410464</v>
      </c>
      <c r="D18" s="59"/>
      <c r="E18" s="59"/>
    </row>
    <row r="19" customFormat="false" ht="6" hidden="false" customHeight="true" outlineLevel="0" collapsed="false">
      <c r="B19" s="28"/>
      <c r="C19" s="28"/>
      <c r="D19" s="28"/>
      <c r="E19" s="28"/>
      <c r="F19" s="28"/>
    </row>
    <row r="20" customFormat="false" ht="21.75" hidden="false" customHeight="true" outlineLevel="0" collapsed="false">
      <c r="B20" s="36" t="s">
        <v>283</v>
      </c>
      <c r="C20" s="36"/>
      <c r="D20" s="36"/>
      <c r="E20" s="36"/>
      <c r="F20" s="36"/>
    </row>
  </sheetData>
  <mergeCells count="5">
    <mergeCell ref="B2:F2"/>
    <mergeCell ref="B3:F3"/>
    <mergeCell ref="B13:F13"/>
    <mergeCell ref="C18:E18"/>
    <mergeCell ref="B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2026-07-31T19:27:40Z</dcterms:created>
  <dc:creator>openpyxl</dc:creator>
  <dc:description/>
  <dc:language>en-US</dc:language>
  <cp:lastModifiedBy/>
  <dcterms:modified xsi:type="dcterms:W3CDTF">2026-07-31T19:52:08Z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